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7C" revisionsPassword="C57C" lockStructure="1" lockRevision="1"/>
  <bookViews>
    <workbookView xWindow="285" yWindow="-30" windowWidth="18720" windowHeight="11775" activeTab="3"/>
  </bookViews>
  <sheets>
    <sheet name="Consolidation Rollup" sheetId="1" r:id="rId1"/>
    <sheet name="JCHA " sheetId="2" r:id="rId2"/>
    <sheet name="Vouchers" sheetId="3" r:id="rId3"/>
    <sheet name="Canyon Gate" sheetId="4" r:id="rId4"/>
    <sheet name="Green Ridge" sheetId="5" r:id="rId5"/>
    <sheet name="Caesar Sq" sheetId="6" r:id="rId6"/>
    <sheet name="Mtn View" sheetId="7" r:id="rId7"/>
    <sheet name="Kendall Apts" sheetId="8" r:id="rId8"/>
    <sheet name="Viking Sq" sheetId="9" r:id="rId9"/>
    <sheet name="Aspen Ridge" sheetId="10" r:id="rId10"/>
    <sheet name="Redwood Village" sheetId="11" r:id="rId11"/>
    <sheet name="Rehab" sheetId="12" r:id="rId12"/>
    <sheet name="Glendale" sheetId="13" r:id="rId13"/>
    <sheet name="Harlan" sheetId="14" r:id="rId14"/>
    <sheet name="Lewis Ct" sheetId="15" r:id="rId15"/>
    <sheet name="2013" sheetId="16" state="hidden" r:id="rId16"/>
    <sheet name="2012" sheetId="17" state="hidden" r:id="rId17"/>
  </sheets>
  <externalReferences>
    <externalReference r:id="rId18"/>
    <externalReference r:id="rId19"/>
  </externalReferences>
  <definedNames>
    <definedName name="_xlnm.Print_Area" localSheetId="9">'Aspen Ridge'!$A$1:$K$96</definedName>
    <definedName name="_xlnm.Print_Area" localSheetId="5">'Caesar Sq'!$A$1:$K$102</definedName>
    <definedName name="_xlnm.Print_Area" localSheetId="3">'Canyon Gate'!$A$1:$K$102</definedName>
    <definedName name="_xlnm.Print_Area" localSheetId="0">'Consolidation Rollup'!$A$2:$I$193</definedName>
    <definedName name="_xlnm.Print_Area" localSheetId="12">Glendale!$A$1:$K$100</definedName>
    <definedName name="_xlnm.Print_Area" localSheetId="4">'Green Ridge'!$A$1:$K$102</definedName>
    <definedName name="_xlnm.Print_Area" localSheetId="13">Harlan!$A$1:$K$98</definedName>
    <definedName name="_xlnm.Print_Area" localSheetId="1">'JCHA '!$A$1:$K$97</definedName>
    <definedName name="_xlnm.Print_Area" localSheetId="7">'Kendall Apts'!$A$1:$K$80</definedName>
    <definedName name="_xlnm.Print_Area" localSheetId="14">'Lewis Ct'!$A$1:$K$105</definedName>
    <definedName name="_xlnm.Print_Area" localSheetId="6">'Mtn View'!$A$1:$K$86</definedName>
    <definedName name="_xlnm.Print_Area" localSheetId="10">'Redwood Village'!$A$1:$K$97</definedName>
    <definedName name="_xlnm.Print_Area" localSheetId="11">Rehab!$A$1:$K$68</definedName>
    <definedName name="_xlnm.Print_Area" localSheetId="8">'Viking Sq'!$A$1:$K$97</definedName>
    <definedName name="_xlnm.Print_Area" localSheetId="2">Vouchers!$A$1:$K$58</definedName>
    <definedName name="_xlnm.Print_Titles" localSheetId="9">'Aspen Ridge'!$1:$4</definedName>
    <definedName name="_xlnm.Print_Titles" localSheetId="3">'Canyon Gate'!$1:$4</definedName>
    <definedName name="_xlnm.Print_Titles" localSheetId="0">'Consolidation Rollup'!$1:$9</definedName>
    <definedName name="_xlnm.Print_Titles" localSheetId="12">Glendale!$1:$4</definedName>
    <definedName name="_xlnm.Print_Titles" localSheetId="4">'Green Ridge'!$1:$4</definedName>
    <definedName name="_xlnm.Print_Titles" localSheetId="13">Harlan!$1:$4</definedName>
    <definedName name="_xlnm.Print_Titles" localSheetId="7">'Kendall Apts'!$1:$4</definedName>
    <definedName name="_xlnm.Print_Titles" localSheetId="14">'Lewis Ct'!$1:$4</definedName>
    <definedName name="_xlnm.Print_Titles" localSheetId="8">'Viking Sq'!$1:$4</definedName>
    <definedName name="Z_D54A66AC_88E3_46FB_AFE3_2E559F565FEB_.wvu.Cols" localSheetId="9" hidden="1">'Aspen Ridge'!$B:$C,'Aspen Ridge'!$H:$H,'Aspen Ridge'!$L:$P</definedName>
    <definedName name="Z_D54A66AC_88E3_46FB_AFE3_2E559F565FEB_.wvu.Cols" localSheetId="5" hidden="1">'Caesar Sq'!$B:$C,'Caesar Sq'!$H:$H,'Caesar Sq'!$L:$O</definedName>
    <definedName name="Z_D54A66AC_88E3_46FB_AFE3_2E559F565FEB_.wvu.Cols" localSheetId="3" hidden="1">'Canyon Gate'!$B:$C,'Canyon Gate'!$H:$H,'Canyon Gate'!$L:$O</definedName>
    <definedName name="Z_D54A66AC_88E3_46FB_AFE3_2E559F565FEB_.wvu.Cols" localSheetId="12" hidden="1">Glendale!$B:$C,Glendale!$H:$H,Glendale!$L:$P</definedName>
    <definedName name="Z_D54A66AC_88E3_46FB_AFE3_2E559F565FEB_.wvu.Cols" localSheetId="4" hidden="1">'Green Ridge'!$B:$C,'Green Ridge'!$H:$H,'Green Ridge'!$L:$O</definedName>
    <definedName name="Z_D54A66AC_88E3_46FB_AFE3_2E559F565FEB_.wvu.Cols" localSheetId="13" hidden="1">Harlan!$B:$C,Harlan!$H:$H,Harlan!$L:$N</definedName>
    <definedName name="Z_D54A66AC_88E3_46FB_AFE3_2E559F565FEB_.wvu.Cols" localSheetId="1" hidden="1">'JCHA '!$B:$C,'JCHA '!$H:$H,'JCHA '!$L:$O</definedName>
    <definedName name="Z_D54A66AC_88E3_46FB_AFE3_2E559F565FEB_.wvu.Cols" localSheetId="7" hidden="1">'Kendall Apts'!$B:$C,'Kendall Apts'!$F:$F,'Kendall Apts'!$L:$O</definedName>
    <definedName name="Z_D54A66AC_88E3_46FB_AFE3_2E559F565FEB_.wvu.Cols" localSheetId="14" hidden="1">'Lewis Ct'!$B:$C,'Lewis Ct'!$G:$H,'Lewis Ct'!$L:$O</definedName>
    <definedName name="Z_D54A66AC_88E3_46FB_AFE3_2E559F565FEB_.wvu.Cols" localSheetId="6" hidden="1">'Mtn View'!$B:$C,'Mtn View'!$H:$H,'Mtn View'!$L:$N</definedName>
    <definedName name="Z_D54A66AC_88E3_46FB_AFE3_2E559F565FEB_.wvu.Cols" localSheetId="10" hidden="1">'Redwood Village'!$B:$C,'Redwood Village'!$G:$H,'Redwood Village'!$L:$N</definedName>
    <definedName name="Z_D54A66AC_88E3_46FB_AFE3_2E559F565FEB_.wvu.Cols" localSheetId="11" hidden="1">Rehab!$B:$C,Rehab!$H:$H,Rehab!$L:$N</definedName>
    <definedName name="Z_D54A66AC_88E3_46FB_AFE3_2E559F565FEB_.wvu.Cols" localSheetId="8" hidden="1">'Viking Sq'!$B:$C,'Viking Sq'!$H:$H,'Viking Sq'!$L:$P</definedName>
    <definedName name="Z_D54A66AC_88E3_46FB_AFE3_2E559F565FEB_.wvu.Cols" localSheetId="2" hidden="1">Vouchers!$B:$C,Vouchers!$G:$G,Vouchers!$L:$N</definedName>
    <definedName name="Z_D54A66AC_88E3_46FB_AFE3_2E559F565FEB_.wvu.PrintArea" localSheetId="9" hidden="1">'Aspen Ridge'!$A$1:$K$96</definedName>
    <definedName name="Z_D54A66AC_88E3_46FB_AFE3_2E559F565FEB_.wvu.PrintArea" localSheetId="5" hidden="1">'Caesar Sq'!$A$1:$K$102</definedName>
    <definedName name="Z_D54A66AC_88E3_46FB_AFE3_2E559F565FEB_.wvu.PrintArea" localSheetId="3" hidden="1">'Canyon Gate'!$A$1:$K$102</definedName>
    <definedName name="Z_D54A66AC_88E3_46FB_AFE3_2E559F565FEB_.wvu.PrintArea" localSheetId="0" hidden="1">'Consolidation Rollup'!$A$2:$I$193</definedName>
    <definedName name="Z_D54A66AC_88E3_46FB_AFE3_2E559F565FEB_.wvu.PrintArea" localSheetId="12" hidden="1">Glendale!$A$1:$K$100</definedName>
    <definedName name="Z_D54A66AC_88E3_46FB_AFE3_2E559F565FEB_.wvu.PrintArea" localSheetId="4" hidden="1">'Green Ridge'!$A$1:$K$102</definedName>
    <definedName name="Z_D54A66AC_88E3_46FB_AFE3_2E559F565FEB_.wvu.PrintArea" localSheetId="13" hidden="1">Harlan!$A$1:$K$98</definedName>
    <definedName name="Z_D54A66AC_88E3_46FB_AFE3_2E559F565FEB_.wvu.PrintArea" localSheetId="1" hidden="1">'JCHA '!$A$1:$K$97</definedName>
    <definedName name="Z_D54A66AC_88E3_46FB_AFE3_2E559F565FEB_.wvu.PrintArea" localSheetId="7" hidden="1">'Kendall Apts'!$A$1:$K$80</definedName>
    <definedName name="Z_D54A66AC_88E3_46FB_AFE3_2E559F565FEB_.wvu.PrintArea" localSheetId="14" hidden="1">'Lewis Ct'!$A$1:$K$105</definedName>
    <definedName name="Z_D54A66AC_88E3_46FB_AFE3_2E559F565FEB_.wvu.PrintArea" localSheetId="6" hidden="1">'Mtn View'!$A$1:$K$86</definedName>
    <definedName name="Z_D54A66AC_88E3_46FB_AFE3_2E559F565FEB_.wvu.PrintArea" localSheetId="10" hidden="1">'Redwood Village'!$A$1:$K$97</definedName>
    <definedName name="Z_D54A66AC_88E3_46FB_AFE3_2E559F565FEB_.wvu.PrintArea" localSheetId="11" hidden="1">Rehab!$A$1:$K$68</definedName>
    <definedName name="Z_D54A66AC_88E3_46FB_AFE3_2E559F565FEB_.wvu.PrintArea" localSheetId="8" hidden="1">'Viking Sq'!$A$1:$K$97</definedName>
    <definedName name="Z_D54A66AC_88E3_46FB_AFE3_2E559F565FEB_.wvu.PrintArea" localSheetId="2" hidden="1">Vouchers!$A$1:$K$58</definedName>
    <definedName name="Z_D54A66AC_88E3_46FB_AFE3_2E559F565FEB_.wvu.PrintTitles" localSheetId="9" hidden="1">'Aspen Ridge'!$1:$4</definedName>
    <definedName name="Z_D54A66AC_88E3_46FB_AFE3_2E559F565FEB_.wvu.PrintTitles" localSheetId="3" hidden="1">'Canyon Gate'!$1:$4</definedName>
    <definedName name="Z_D54A66AC_88E3_46FB_AFE3_2E559F565FEB_.wvu.PrintTitles" localSheetId="0" hidden="1">'Consolidation Rollup'!$1:$9</definedName>
    <definedName name="Z_D54A66AC_88E3_46FB_AFE3_2E559F565FEB_.wvu.PrintTitles" localSheetId="12" hidden="1">Glendale!$1:$4</definedName>
    <definedName name="Z_D54A66AC_88E3_46FB_AFE3_2E559F565FEB_.wvu.PrintTitles" localSheetId="4" hidden="1">'Green Ridge'!$1:$4</definedName>
    <definedName name="Z_D54A66AC_88E3_46FB_AFE3_2E559F565FEB_.wvu.PrintTitles" localSheetId="13" hidden="1">Harlan!$1:$4</definedName>
    <definedName name="Z_D54A66AC_88E3_46FB_AFE3_2E559F565FEB_.wvu.PrintTitles" localSheetId="7" hidden="1">'Kendall Apts'!$1:$4</definedName>
    <definedName name="Z_D54A66AC_88E3_46FB_AFE3_2E559F565FEB_.wvu.PrintTitles" localSheetId="14" hidden="1">'Lewis Ct'!$1:$4</definedName>
    <definedName name="Z_D54A66AC_88E3_46FB_AFE3_2E559F565FEB_.wvu.PrintTitles" localSheetId="8" hidden="1">'Viking Sq'!$1:$4</definedName>
    <definedName name="Z_D54A66AC_88E3_46FB_AFE3_2E559F565FEB_.wvu.Rows" localSheetId="9" hidden="1">'Aspen Ridge'!$89:$89,'Aspen Ridge'!$92:$95</definedName>
    <definedName name="Z_D54A66AC_88E3_46FB_AFE3_2E559F565FEB_.wvu.Rows" localSheetId="5" hidden="1">'Caesar Sq'!$7:$7,'Caesar Sq'!$63:$64,'Caesar Sq'!$93:$93,'Caesar Sq'!$97:$99</definedName>
    <definedName name="Z_D54A66AC_88E3_46FB_AFE3_2E559F565FEB_.wvu.Rows" localSheetId="3" hidden="1">'Canyon Gate'!$57:$57,'Canyon Gate'!$91:$94,'Canyon Gate'!$99:$99</definedName>
    <definedName name="Z_D54A66AC_88E3_46FB_AFE3_2E559F565FEB_.wvu.Rows" localSheetId="12" hidden="1">Glendale!$85:$85,Glendale!$97:$98</definedName>
    <definedName name="Z_D54A66AC_88E3_46FB_AFE3_2E559F565FEB_.wvu.Rows" localSheetId="4" hidden="1">'Green Ridge'!$29:$29,'Green Ridge'!$76:$76,'Green Ridge'!$92:$94,'Green Ridge'!$97:$100</definedName>
    <definedName name="Z_D54A66AC_88E3_46FB_AFE3_2E559F565FEB_.wvu.Rows" localSheetId="13" hidden="1">Harlan!$53:$54,Harlan!$57:$57,Harlan!$73:$73,Harlan!$87:$90,Harlan!$94:$97</definedName>
    <definedName name="Z_D54A66AC_88E3_46FB_AFE3_2E559F565FEB_.wvu.Rows" localSheetId="1" hidden="1">'JCHA '!$7:$7,'JCHA '!$74:$75,'JCHA '!$94:$95</definedName>
    <definedName name="Z_D54A66AC_88E3_46FB_AFE3_2E559F565FEB_.wvu.Rows" localSheetId="7" hidden="1">'Kendall Apts'!$73:$74,'Kendall Apts'!$76:$78</definedName>
    <definedName name="Z_D54A66AC_88E3_46FB_AFE3_2E559F565FEB_.wvu.Rows" localSheetId="14" hidden="1">'Lewis Ct'!$61:$61,'Lewis Ct'!$94:$97,'Lewis Ct'!$99:$99,'Lewis Ct'!$101:$103</definedName>
    <definedName name="Z_D54A66AC_88E3_46FB_AFE3_2E559F565FEB_.wvu.Rows" localSheetId="6" hidden="1">'Mtn View'!$76:$76,'Mtn View'!$78:$78,'Mtn View'!$81:$84</definedName>
    <definedName name="Z_D54A66AC_88E3_46FB_AFE3_2E559F565FEB_.wvu.Rows" localSheetId="10" hidden="1">'Redwood Village'!$86:$86,'Redwood Village'!$91:$91,'Redwood Village'!$93:$95</definedName>
    <definedName name="Z_D54A66AC_88E3_46FB_AFE3_2E559F565FEB_.wvu.Rows" localSheetId="11" hidden="1">Rehab!$31:$31,Rehab!$43:$44,Rehab!$64:$65</definedName>
    <definedName name="Z_D54A66AC_88E3_46FB_AFE3_2E559F565FEB_.wvu.Rows" localSheetId="8" hidden="1">'Viking Sq'!$36:$37,'Viking Sq'!$64:$64,'Viking Sq'!$73:$73,'Viking Sq'!$90:$96</definedName>
    <definedName name="Z_D54A66AC_88E3_46FB_AFE3_2E559F565FEB_.wvu.Rows" localSheetId="2" hidden="1">Vouchers!$9:$9,Vouchers!$52:$52</definedName>
  </definedNames>
  <calcPr calcId="145621"/>
  <customWorkbookViews>
    <customWorkbookView name="Keith Roberts - Personal View" guid="{D54A66AC-88E3-46FB-AFE3-2E559F565FEB}" mergeInterval="0" personalView="1" maximized="1" windowWidth="1600" windowHeight="714" activeSheetId="4"/>
  </customWorkbookViews>
</workbook>
</file>

<file path=xl/calcChain.xml><?xml version="1.0" encoding="utf-8"?>
<calcChain xmlns="http://schemas.openxmlformats.org/spreadsheetml/2006/main">
  <c r="I21" i="2" l="1"/>
  <c r="N82" i="2" l="1"/>
  <c r="I49" i="12" l="1"/>
  <c r="I26" i="13"/>
  <c r="J45" i="3" l="1"/>
  <c r="J46" i="3"/>
  <c r="J47" i="3"/>
  <c r="J48" i="3"/>
  <c r="I54" i="2" l="1"/>
  <c r="J24" i="2" l="1"/>
  <c r="F24" i="2"/>
  <c r="L46" i="10" l="1"/>
  <c r="L78" i="13" l="1"/>
  <c r="I28" i="10" l="1"/>
  <c r="M28" i="10"/>
  <c r="I7" i="3" l="1"/>
  <c r="I88" i="10" l="1"/>
  <c r="I59" i="7"/>
  <c r="J59" i="7" s="1"/>
  <c r="I62" i="5"/>
  <c r="J13" i="5"/>
  <c r="F13" i="5"/>
  <c r="L13" i="5" s="1"/>
  <c r="I25" i="3"/>
  <c r="I30" i="5"/>
  <c r="J10" i="4"/>
  <c r="F10" i="4"/>
  <c r="I96" i="2"/>
  <c r="I55" i="2"/>
  <c r="I39" i="2"/>
  <c r="L81" i="2" l="1"/>
  <c r="L83" i="2"/>
  <c r="M84" i="2"/>
  <c r="J8" i="3"/>
  <c r="I63" i="11"/>
  <c r="I37" i="3"/>
  <c r="I48" i="7"/>
  <c r="I60" i="4"/>
  <c r="I5" i="2" l="1"/>
  <c r="I58" i="14" l="1"/>
  <c r="I65" i="13"/>
  <c r="I69" i="6" l="1"/>
  <c r="J86" i="15" l="1"/>
  <c r="F86" i="15"/>
  <c r="I62" i="12" l="1"/>
  <c r="F20" i="12" l="1"/>
  <c r="F95" i="9"/>
  <c r="F92" i="9"/>
  <c r="F93" i="9"/>
  <c r="F94" i="9"/>
  <c r="F91" i="9"/>
  <c r="I190" i="1" l="1"/>
  <c r="E190" i="1"/>
  <c r="C190" i="1"/>
  <c r="F97" i="14" l="1"/>
  <c r="F93" i="14"/>
  <c r="F94" i="14"/>
  <c r="F96" i="14"/>
  <c r="F92" i="14"/>
  <c r="F12" i="14"/>
  <c r="F6" i="14"/>
  <c r="F7" i="14"/>
  <c r="F8" i="14"/>
  <c r="F9" i="14"/>
  <c r="F10" i="14"/>
  <c r="F11" i="14"/>
  <c r="I51" i="3" l="1"/>
  <c r="E51" i="3" l="1"/>
  <c r="L46" i="3" l="1"/>
  <c r="L44" i="3"/>
  <c r="L43" i="3"/>
  <c r="L74" i="4"/>
  <c r="L73" i="4"/>
  <c r="L71" i="4"/>
  <c r="L7" i="4"/>
  <c r="L75" i="5"/>
  <c r="L74" i="5"/>
  <c r="L72" i="5"/>
  <c r="J65" i="5"/>
  <c r="L7" i="5"/>
  <c r="L78" i="6"/>
  <c r="L77" i="6"/>
  <c r="L75" i="6"/>
  <c r="L11" i="6"/>
  <c r="L58" i="7" l="1"/>
  <c r="L61" i="7"/>
  <c r="L60" i="7"/>
  <c r="F10" i="7"/>
  <c r="L10" i="7" s="1"/>
  <c r="L6" i="7"/>
  <c r="J63" i="8"/>
  <c r="L61" i="8"/>
  <c r="L60" i="8"/>
  <c r="L58" i="8"/>
  <c r="L6" i="8"/>
  <c r="J73" i="9"/>
  <c r="J74" i="9"/>
  <c r="J75" i="9"/>
  <c r="J72" i="9"/>
  <c r="L74" i="9"/>
  <c r="L72" i="9"/>
  <c r="F72" i="9"/>
  <c r="L69" i="9"/>
  <c r="L8" i="9"/>
  <c r="F84" i="14"/>
  <c r="F80" i="14"/>
  <c r="F79" i="14"/>
  <c r="F75" i="14"/>
  <c r="F70" i="14"/>
  <c r="F71" i="14"/>
  <c r="F72" i="14"/>
  <c r="F73" i="14"/>
  <c r="F74" i="14"/>
  <c r="F69" i="14"/>
  <c r="L72" i="14"/>
  <c r="L71" i="14"/>
  <c r="L69" i="14"/>
  <c r="L58" i="14"/>
  <c r="L60" i="14"/>
  <c r="J63" i="14"/>
  <c r="H63" i="14"/>
  <c r="F63" i="14"/>
  <c r="L63" i="14" s="1"/>
  <c r="C63" i="14"/>
  <c r="J62" i="14"/>
  <c r="F62" i="14"/>
  <c r="L62" i="14" s="1"/>
  <c r="J61" i="14"/>
  <c r="F61" i="14"/>
  <c r="L61" i="14" s="1"/>
  <c r="F65" i="14"/>
  <c r="F54" i="14"/>
  <c r="F55" i="14"/>
  <c r="L55" i="14" s="1"/>
  <c r="F56" i="14"/>
  <c r="L56" i="14" s="1"/>
  <c r="F58" i="14"/>
  <c r="F59" i="14"/>
  <c r="L59" i="14" s="1"/>
  <c r="F60" i="14"/>
  <c r="F64" i="14"/>
  <c r="F53" i="14"/>
  <c r="F49" i="14"/>
  <c r="L49" i="14" s="1"/>
  <c r="F47" i="14"/>
  <c r="L47" i="14" s="1"/>
  <c r="F48" i="14"/>
  <c r="L48" i="14" s="1"/>
  <c r="F46" i="14"/>
  <c r="L46" i="14"/>
  <c r="F42" i="14"/>
  <c r="L42" i="14" s="1"/>
  <c r="F27" i="14"/>
  <c r="F28" i="14"/>
  <c r="F29" i="14"/>
  <c r="L29" i="14" s="1"/>
  <c r="F30" i="14"/>
  <c r="F31" i="14"/>
  <c r="F32" i="14"/>
  <c r="F33" i="14"/>
  <c r="F34" i="14"/>
  <c r="F35" i="14"/>
  <c r="F36" i="14"/>
  <c r="F37" i="14"/>
  <c r="F38" i="14"/>
  <c r="F39" i="14"/>
  <c r="F40" i="14"/>
  <c r="L40" i="14" s="1"/>
  <c r="F41" i="14"/>
  <c r="L41" i="14" s="1"/>
  <c r="F26" i="14"/>
  <c r="F5" i="14"/>
  <c r="L5" i="14" s="1"/>
  <c r="L6" i="14"/>
  <c r="L76" i="13"/>
  <c r="L75" i="13"/>
  <c r="L73" i="13"/>
  <c r="L7" i="13"/>
  <c r="L72" i="11"/>
  <c r="L73" i="11"/>
  <c r="L70" i="11"/>
  <c r="L72" i="10"/>
  <c r="L8" i="10"/>
  <c r="L7" i="11"/>
  <c r="L71" i="10"/>
  <c r="L69" i="10"/>
  <c r="J64" i="10" l="1"/>
  <c r="I64" i="15" l="1"/>
  <c r="J62" i="9" l="1"/>
  <c r="F62" i="9"/>
  <c r="L62" i="9" s="1"/>
  <c r="J61" i="9"/>
  <c r="F61" i="9"/>
  <c r="L61" i="9" s="1"/>
  <c r="H39" i="9"/>
  <c r="J39" i="9" s="1"/>
  <c r="F39" i="9"/>
  <c r="L39" i="9" s="1"/>
  <c r="C39" i="9"/>
  <c r="J65" i="11"/>
  <c r="F65" i="11"/>
  <c r="L65" i="11" s="1"/>
  <c r="J64" i="11"/>
  <c r="F64" i="11"/>
  <c r="L64" i="11" s="1"/>
  <c r="J33" i="11"/>
  <c r="H33" i="11"/>
  <c r="F33" i="11"/>
  <c r="L33" i="11" s="1"/>
  <c r="C33" i="11"/>
  <c r="E29" i="11"/>
  <c r="F64" i="10"/>
  <c r="L64" i="10" s="1"/>
  <c r="J63" i="10"/>
  <c r="F63" i="10"/>
  <c r="L63" i="10" s="1"/>
  <c r="J62" i="10"/>
  <c r="F62" i="10"/>
  <c r="L62" i="10" s="1"/>
  <c r="J6" i="10"/>
  <c r="H6" i="10"/>
  <c r="F6" i="10"/>
  <c r="L6" i="10" s="1"/>
  <c r="C6" i="10"/>
  <c r="J69" i="6"/>
  <c r="F69" i="6"/>
  <c r="L69" i="6" s="1"/>
  <c r="J68" i="6"/>
  <c r="F68" i="6"/>
  <c r="L68" i="6" s="1"/>
  <c r="J67" i="6"/>
  <c r="F67" i="6"/>
  <c r="L67" i="6" s="1"/>
  <c r="J36" i="6"/>
  <c r="H36" i="6"/>
  <c r="F36" i="6"/>
  <c r="L36" i="6" s="1"/>
  <c r="C36" i="6"/>
  <c r="J78" i="13"/>
  <c r="F78" i="13"/>
  <c r="J68" i="13"/>
  <c r="F68" i="13"/>
  <c r="L68" i="13" s="1"/>
  <c r="J67" i="13"/>
  <c r="F67" i="13"/>
  <c r="L67" i="13" s="1"/>
  <c r="H33" i="13"/>
  <c r="J33" i="13" s="1"/>
  <c r="F33" i="13"/>
  <c r="L33" i="13" s="1"/>
  <c r="C33" i="13"/>
  <c r="J52" i="7" l="1"/>
  <c r="F52" i="7"/>
  <c r="L52" i="7" s="1"/>
  <c r="J51" i="7"/>
  <c r="F51" i="7"/>
  <c r="L51" i="7" s="1"/>
  <c r="G63" i="8" l="1"/>
  <c r="J52" i="8"/>
  <c r="G50" i="8"/>
  <c r="L50" i="8" s="1"/>
  <c r="G51" i="8"/>
  <c r="L51" i="8" s="1"/>
  <c r="G52" i="8"/>
  <c r="L52" i="8" s="1"/>
  <c r="F52" i="8"/>
  <c r="J51" i="8"/>
  <c r="F51" i="8"/>
  <c r="J50" i="8"/>
  <c r="F50" i="8"/>
  <c r="I17" i="8"/>
  <c r="L59" i="12"/>
  <c r="L58" i="12"/>
  <c r="L57" i="12"/>
  <c r="L56" i="12"/>
  <c r="J61" i="12"/>
  <c r="J56" i="12"/>
  <c r="J57" i="12"/>
  <c r="J58" i="12"/>
  <c r="J59" i="12"/>
  <c r="J60" i="12"/>
  <c r="J53" i="12"/>
  <c r="J54" i="12"/>
  <c r="J55" i="12"/>
  <c r="J52" i="12"/>
  <c r="J28" i="12"/>
  <c r="L53" i="12"/>
  <c r="L54" i="12"/>
  <c r="L55" i="12"/>
  <c r="L52" i="12"/>
  <c r="F59" i="12"/>
  <c r="F55" i="12"/>
  <c r="J43" i="12"/>
  <c r="F43" i="12"/>
  <c r="L43" i="12" s="1"/>
  <c r="J33" i="12"/>
  <c r="H33" i="12"/>
  <c r="F33" i="12"/>
  <c r="L33" i="12" s="1"/>
  <c r="C33" i="12"/>
  <c r="F28" i="12"/>
  <c r="L28" i="12" s="1"/>
  <c r="J20" i="12"/>
  <c r="I20" i="12"/>
  <c r="J19" i="12"/>
  <c r="I19" i="12"/>
  <c r="J18" i="12"/>
  <c r="I18" i="12"/>
  <c r="I17" i="2"/>
  <c r="J17" i="2" s="1"/>
  <c r="I17" i="3"/>
  <c r="E17" i="3"/>
  <c r="J86" i="2"/>
  <c r="F86" i="2"/>
  <c r="M86" i="2" s="1"/>
  <c r="J63" i="4"/>
  <c r="F63" i="4"/>
  <c r="L63" i="4" s="1"/>
  <c r="J62" i="4"/>
  <c r="F62" i="4"/>
  <c r="L62" i="4" s="1"/>
  <c r="J61" i="4"/>
  <c r="F61" i="4"/>
  <c r="L61" i="4" s="1"/>
  <c r="F65" i="5" l="1"/>
  <c r="L65" i="5" s="1"/>
  <c r="J64" i="5"/>
  <c r="F64" i="5"/>
  <c r="L64" i="5" s="1"/>
  <c r="J63" i="5"/>
  <c r="F63" i="5"/>
  <c r="L63" i="5" s="1"/>
  <c r="I16" i="2"/>
  <c r="I15" i="2"/>
  <c r="I14" i="2"/>
  <c r="I13" i="2"/>
  <c r="I11" i="2"/>
  <c r="I10" i="2"/>
  <c r="I9" i="2"/>
  <c r="I8" i="2"/>
  <c r="I22" i="2"/>
  <c r="I20" i="2"/>
  <c r="I19" i="2"/>
  <c r="G25" i="15" l="1"/>
  <c r="I5" i="15" l="1"/>
  <c r="L33" i="15" s="1"/>
  <c r="E7" i="15"/>
  <c r="J8" i="15"/>
  <c r="F8" i="15"/>
  <c r="D51" i="3" l="1"/>
  <c r="D17" i="3" s="1"/>
  <c r="J85" i="2" l="1"/>
  <c r="J69" i="2"/>
  <c r="F69" i="2"/>
  <c r="M69" i="2" s="1"/>
  <c r="F17" i="2" l="1"/>
  <c r="J18" i="2"/>
  <c r="L77" i="15" l="1"/>
  <c r="L76" i="15"/>
  <c r="L74" i="15"/>
  <c r="L75" i="15" l="1"/>
  <c r="H52" i="15" l="1"/>
  <c r="F28" i="15" l="1"/>
  <c r="L28" i="15" s="1"/>
  <c r="H28" i="15"/>
  <c r="H37" i="15" l="1"/>
  <c r="H36" i="15"/>
  <c r="H35" i="15"/>
  <c r="H31" i="15"/>
  <c r="I14" i="15"/>
  <c r="C105" i="15"/>
  <c r="H78" i="15"/>
  <c r="H33" i="15"/>
  <c r="H29" i="15"/>
  <c r="J75" i="2" l="1"/>
  <c r="F75" i="2"/>
  <c r="J74" i="2"/>
  <c r="F74" i="2"/>
  <c r="F99" i="13" l="1"/>
  <c r="F96" i="13"/>
  <c r="F97" i="13"/>
  <c r="F98" i="13"/>
  <c r="F94" i="13"/>
  <c r="F90" i="13"/>
  <c r="F86" i="13"/>
  <c r="F85" i="13"/>
  <c r="F84" i="13"/>
  <c r="F80" i="13"/>
  <c r="F74" i="13"/>
  <c r="L74" i="13" s="1"/>
  <c r="F75" i="13"/>
  <c r="F76" i="13"/>
  <c r="F77" i="13"/>
  <c r="L77" i="13" s="1"/>
  <c r="F79" i="13"/>
  <c r="F73" i="13"/>
  <c r="F69" i="13"/>
  <c r="L69" i="13" s="1"/>
  <c r="F58" i="13"/>
  <c r="L58" i="13" s="1"/>
  <c r="F59" i="13"/>
  <c r="L59" i="13" s="1"/>
  <c r="F60" i="13"/>
  <c r="L60" i="13" s="1"/>
  <c r="F61" i="13"/>
  <c r="L61" i="13" s="1"/>
  <c r="F62" i="13"/>
  <c r="L62" i="13" s="1"/>
  <c r="F63" i="13"/>
  <c r="L63" i="13" s="1"/>
  <c r="F64" i="13"/>
  <c r="L64" i="13" s="1"/>
  <c r="F65" i="13"/>
  <c r="L65" i="13" s="1"/>
  <c r="F66" i="13"/>
  <c r="L66" i="13" s="1"/>
  <c r="F57" i="13"/>
  <c r="L57" i="13" s="1"/>
  <c r="F53" i="13"/>
  <c r="L53" i="13" s="1"/>
  <c r="F51" i="13"/>
  <c r="L51" i="13" s="1"/>
  <c r="F52" i="13"/>
  <c r="L52" i="13" s="1"/>
  <c r="F50" i="13"/>
  <c r="L50" i="13" s="1"/>
  <c r="J36" i="13"/>
  <c r="F36" i="13"/>
  <c r="L36" i="13" s="1"/>
  <c r="F46" i="13"/>
  <c r="L46" i="13" s="1"/>
  <c r="F41" i="13"/>
  <c r="L41" i="13" s="1"/>
  <c r="F42" i="13"/>
  <c r="L42" i="13" s="1"/>
  <c r="F43" i="13"/>
  <c r="L43" i="13" s="1"/>
  <c r="F44" i="13"/>
  <c r="L44" i="13" s="1"/>
  <c r="F45" i="13"/>
  <c r="L45" i="13" s="1"/>
  <c r="F29" i="13"/>
  <c r="L29" i="13" s="1"/>
  <c r="F30" i="13"/>
  <c r="L30" i="13" s="1"/>
  <c r="F31" i="13"/>
  <c r="L31" i="13" s="1"/>
  <c r="F32" i="13"/>
  <c r="L32" i="13" s="1"/>
  <c r="F34" i="13"/>
  <c r="F35" i="13"/>
  <c r="L35" i="13" s="1"/>
  <c r="F37" i="13"/>
  <c r="L37" i="13" s="1"/>
  <c r="F38" i="13"/>
  <c r="L38" i="13" s="1"/>
  <c r="F39" i="13"/>
  <c r="L39" i="13" s="1"/>
  <c r="F40" i="13"/>
  <c r="L40" i="13" s="1"/>
  <c r="F28" i="13"/>
  <c r="L28" i="13" s="1"/>
  <c r="J11" i="13"/>
  <c r="J12" i="13"/>
  <c r="F11" i="13"/>
  <c r="L11" i="13" s="1"/>
  <c r="F14" i="13"/>
  <c r="L14" i="13" s="1"/>
  <c r="F6" i="13"/>
  <c r="L6" i="13" s="1"/>
  <c r="F7" i="13"/>
  <c r="F8" i="13"/>
  <c r="L8" i="13" s="1"/>
  <c r="F9" i="13"/>
  <c r="L9" i="13" s="1"/>
  <c r="F10" i="13"/>
  <c r="L10" i="13" s="1"/>
  <c r="F12" i="13"/>
  <c r="L12" i="13" s="1"/>
  <c r="F13" i="13"/>
  <c r="L13" i="13" s="1"/>
  <c r="F5" i="13"/>
  <c r="L5" i="13" s="1"/>
  <c r="F67" i="12"/>
  <c r="F61" i="12"/>
  <c r="F56" i="12"/>
  <c r="F57" i="12"/>
  <c r="F60" i="12"/>
  <c r="L60" i="12" s="1"/>
  <c r="F52" i="12"/>
  <c r="J48" i="12"/>
  <c r="J44" i="12"/>
  <c r="J45" i="12"/>
  <c r="J46" i="12"/>
  <c r="J47" i="12"/>
  <c r="J42" i="12"/>
  <c r="F47" i="12"/>
  <c r="L47" i="12" s="1"/>
  <c r="F44" i="12"/>
  <c r="L44" i="12" s="1"/>
  <c r="F45" i="12"/>
  <c r="L45" i="12" s="1"/>
  <c r="F46" i="12"/>
  <c r="L46" i="12" s="1"/>
  <c r="F42" i="12"/>
  <c r="L42" i="12" s="1"/>
  <c r="F38" i="12"/>
  <c r="L38" i="12" s="1"/>
  <c r="F26" i="12"/>
  <c r="L26" i="12" s="1"/>
  <c r="F27" i="12"/>
  <c r="L27" i="12" s="1"/>
  <c r="F29" i="12"/>
  <c r="L29" i="12" s="1"/>
  <c r="F30" i="12"/>
  <c r="L30" i="12" s="1"/>
  <c r="F32" i="12"/>
  <c r="L32" i="12" s="1"/>
  <c r="F34" i="12"/>
  <c r="L34" i="12" s="1"/>
  <c r="F35" i="12"/>
  <c r="L35" i="12" s="1"/>
  <c r="F36" i="12"/>
  <c r="L36" i="12" s="1"/>
  <c r="F37" i="12"/>
  <c r="L37" i="12" s="1"/>
  <c r="F25" i="12"/>
  <c r="L25" i="12" s="1"/>
  <c r="F6" i="12"/>
  <c r="J6" i="12"/>
  <c r="F14" i="12"/>
  <c r="F7" i="12"/>
  <c r="F8" i="12"/>
  <c r="F9" i="12"/>
  <c r="F10" i="12"/>
  <c r="F12" i="12"/>
  <c r="F5" i="12"/>
  <c r="F96" i="11"/>
  <c r="F92" i="11"/>
  <c r="F93" i="11"/>
  <c r="F94" i="11"/>
  <c r="F95" i="11"/>
  <c r="F90" i="11"/>
  <c r="F85" i="11"/>
  <c r="F81" i="11"/>
  <c r="F80" i="11"/>
  <c r="F76" i="11"/>
  <c r="F71" i="11"/>
  <c r="L71" i="11" s="1"/>
  <c r="F72" i="11"/>
  <c r="F73" i="11"/>
  <c r="F74" i="11"/>
  <c r="L74" i="11" s="1"/>
  <c r="F75" i="11"/>
  <c r="L75" i="11" s="1"/>
  <c r="F70" i="11"/>
  <c r="J58" i="11"/>
  <c r="F58" i="11"/>
  <c r="L58" i="11" s="1"/>
  <c r="F54" i="11"/>
  <c r="L54" i="11" s="1"/>
  <c r="F66" i="11"/>
  <c r="L66" i="11" s="1"/>
  <c r="F55" i="11"/>
  <c r="L55" i="11" s="1"/>
  <c r="F56" i="11"/>
  <c r="L56" i="11" s="1"/>
  <c r="F57" i="11"/>
  <c r="L57" i="11" s="1"/>
  <c r="F59" i="11"/>
  <c r="L59" i="11" s="1"/>
  <c r="F60" i="11"/>
  <c r="L60" i="11" s="1"/>
  <c r="F61" i="11"/>
  <c r="L61" i="11" s="1"/>
  <c r="F62" i="11"/>
  <c r="L62" i="11" s="1"/>
  <c r="F63" i="11"/>
  <c r="L63" i="11" s="1"/>
  <c r="F50" i="11"/>
  <c r="L50" i="11" s="1"/>
  <c r="F48" i="11"/>
  <c r="L48" i="11" s="1"/>
  <c r="F49" i="11"/>
  <c r="L49" i="11" s="1"/>
  <c r="F47" i="11"/>
  <c r="L47" i="11" s="1"/>
  <c r="F43" i="11"/>
  <c r="L43" i="11" s="1"/>
  <c r="F28" i="11"/>
  <c r="L28" i="11" s="1"/>
  <c r="F29" i="11"/>
  <c r="L29" i="11" s="1"/>
  <c r="F30" i="11"/>
  <c r="L30" i="11" s="1"/>
  <c r="F31" i="11"/>
  <c r="L31" i="11" s="1"/>
  <c r="F32" i="11"/>
  <c r="L32" i="11" s="1"/>
  <c r="F34" i="11"/>
  <c r="F35" i="11"/>
  <c r="L35" i="11" s="1"/>
  <c r="F36" i="11"/>
  <c r="L36" i="11" s="1"/>
  <c r="F37" i="11"/>
  <c r="L37" i="11" s="1"/>
  <c r="F38" i="11"/>
  <c r="L38" i="11" s="1"/>
  <c r="F39" i="11"/>
  <c r="L39" i="11" s="1"/>
  <c r="F40" i="11"/>
  <c r="L40" i="11" s="1"/>
  <c r="F41" i="11"/>
  <c r="L41" i="11" s="1"/>
  <c r="F42" i="11"/>
  <c r="L42" i="11" s="1"/>
  <c r="F27" i="11"/>
  <c r="L27" i="11" s="1"/>
  <c r="J12" i="11"/>
  <c r="F12" i="11"/>
  <c r="L12" i="11" s="1"/>
  <c r="F13" i="11"/>
  <c r="L13" i="11" s="1"/>
  <c r="F6" i="11"/>
  <c r="L6" i="11" s="1"/>
  <c r="F7" i="11"/>
  <c r="F8" i="11"/>
  <c r="L8" i="11" s="1"/>
  <c r="F9" i="11"/>
  <c r="L9" i="11" s="1"/>
  <c r="F10" i="11"/>
  <c r="L10" i="11" s="1"/>
  <c r="F11" i="11"/>
  <c r="L11" i="11" s="1"/>
  <c r="F5" i="11"/>
  <c r="L5" i="11" s="1"/>
  <c r="F94" i="10"/>
  <c r="F90" i="10"/>
  <c r="F91" i="10"/>
  <c r="F92" i="10"/>
  <c r="F93" i="10"/>
  <c r="F88" i="10"/>
  <c r="F84" i="10"/>
  <c r="F80" i="10"/>
  <c r="F79" i="10"/>
  <c r="F75" i="10"/>
  <c r="F70" i="10"/>
  <c r="L70" i="10" s="1"/>
  <c r="F71" i="10"/>
  <c r="F72" i="10"/>
  <c r="F73" i="10"/>
  <c r="L73" i="10" s="1"/>
  <c r="F74" i="10"/>
  <c r="L74" i="10" s="1"/>
  <c r="F69" i="10"/>
  <c r="F65" i="10"/>
  <c r="L65" i="10" s="1"/>
  <c r="F53" i="10"/>
  <c r="L53" i="10" s="1"/>
  <c r="F54" i="10"/>
  <c r="L54" i="10" s="1"/>
  <c r="F55" i="10"/>
  <c r="L55" i="10" s="1"/>
  <c r="F56" i="10"/>
  <c r="L56" i="10" s="1"/>
  <c r="F57" i="10"/>
  <c r="L57" i="10" s="1"/>
  <c r="F58" i="10"/>
  <c r="L58" i="10" s="1"/>
  <c r="F59" i="10"/>
  <c r="L59" i="10" s="1"/>
  <c r="F60" i="10"/>
  <c r="L60" i="10" s="1"/>
  <c r="F61" i="10"/>
  <c r="L61" i="10" s="1"/>
  <c r="F52" i="10"/>
  <c r="L52" i="10" s="1"/>
  <c r="F48" i="10"/>
  <c r="L48" i="10" s="1"/>
  <c r="F46" i="10"/>
  <c r="F47" i="10"/>
  <c r="L47" i="10" s="1"/>
  <c r="F45" i="10"/>
  <c r="L45" i="10" s="1"/>
  <c r="F41" i="10"/>
  <c r="L41" i="10" s="1"/>
  <c r="F37" i="10"/>
  <c r="L37" i="10" s="1"/>
  <c r="F38" i="10"/>
  <c r="L38" i="10" s="1"/>
  <c r="F39" i="10"/>
  <c r="L39" i="10" s="1"/>
  <c r="F40" i="10"/>
  <c r="L40" i="10" s="1"/>
  <c r="F28" i="10"/>
  <c r="L28" i="10" s="1"/>
  <c r="F29" i="10"/>
  <c r="L29" i="10" s="1"/>
  <c r="F30" i="10"/>
  <c r="L30" i="10" s="1"/>
  <c r="F31" i="10"/>
  <c r="L31" i="10" s="1"/>
  <c r="F32" i="10"/>
  <c r="L32" i="10" s="1"/>
  <c r="F33" i="10"/>
  <c r="F34" i="10"/>
  <c r="L34" i="10" s="1"/>
  <c r="F35" i="10"/>
  <c r="L35" i="10" s="1"/>
  <c r="F36" i="10"/>
  <c r="L36" i="10" s="1"/>
  <c r="F27" i="10"/>
  <c r="L27" i="10" s="1"/>
  <c r="F13" i="10"/>
  <c r="L13" i="10" s="1"/>
  <c r="F7" i="10"/>
  <c r="L7" i="10" s="1"/>
  <c r="F8" i="10"/>
  <c r="F9" i="10"/>
  <c r="L9" i="10" s="1"/>
  <c r="F10" i="10"/>
  <c r="L10" i="10" s="1"/>
  <c r="F11" i="10"/>
  <c r="L11" i="10" s="1"/>
  <c r="F12" i="10"/>
  <c r="L12" i="10" s="1"/>
  <c r="F5" i="10"/>
  <c r="L5" i="10" s="1"/>
  <c r="F87" i="9"/>
  <c r="F86" i="9"/>
  <c r="J77" i="9"/>
  <c r="F77" i="9"/>
  <c r="L77" i="9" s="1"/>
  <c r="J76" i="9"/>
  <c r="F76" i="9"/>
  <c r="L76" i="9" s="1"/>
  <c r="F82" i="9"/>
  <c r="F78" i="9"/>
  <c r="F70" i="9"/>
  <c r="L70" i="9" s="1"/>
  <c r="F71" i="9"/>
  <c r="L71" i="9" s="1"/>
  <c r="F73" i="9"/>
  <c r="F74" i="9"/>
  <c r="F75" i="9"/>
  <c r="L75" i="9" s="1"/>
  <c r="F69" i="9"/>
  <c r="F65" i="9"/>
  <c r="L65" i="9" s="1"/>
  <c r="F53" i="9"/>
  <c r="L53" i="9" s="1"/>
  <c r="F54" i="9"/>
  <c r="L54" i="9" s="1"/>
  <c r="F55" i="9"/>
  <c r="L55" i="9" s="1"/>
  <c r="F56" i="9"/>
  <c r="L56" i="9" s="1"/>
  <c r="F57" i="9"/>
  <c r="L57" i="9" s="1"/>
  <c r="F58" i="9"/>
  <c r="L58" i="9" s="1"/>
  <c r="F59" i="9"/>
  <c r="L59" i="9" s="1"/>
  <c r="F60" i="9"/>
  <c r="L60" i="9" s="1"/>
  <c r="F63" i="9"/>
  <c r="L63" i="9" s="1"/>
  <c r="F52" i="9"/>
  <c r="L52" i="9" s="1"/>
  <c r="F48" i="9"/>
  <c r="L48" i="9" s="1"/>
  <c r="F46" i="9"/>
  <c r="L46" i="9" s="1"/>
  <c r="F47" i="9"/>
  <c r="L47" i="9" s="1"/>
  <c r="F45" i="9"/>
  <c r="L45" i="9" s="1"/>
  <c r="F41" i="9"/>
  <c r="L41" i="9" s="1"/>
  <c r="F29" i="9"/>
  <c r="L29" i="9" s="1"/>
  <c r="F30" i="9"/>
  <c r="L30" i="9" s="1"/>
  <c r="F31" i="9"/>
  <c r="L31" i="9" s="1"/>
  <c r="F32" i="9"/>
  <c r="F33" i="9"/>
  <c r="L33" i="9" s="1"/>
  <c r="F34" i="9"/>
  <c r="L34" i="9" s="1"/>
  <c r="F35" i="9"/>
  <c r="L35" i="9" s="1"/>
  <c r="F36" i="9"/>
  <c r="L36" i="9" s="1"/>
  <c r="F37" i="9"/>
  <c r="L37" i="9" s="1"/>
  <c r="F38" i="9"/>
  <c r="L38" i="9" s="1"/>
  <c r="F40" i="9"/>
  <c r="L40" i="9" s="1"/>
  <c r="F28" i="9"/>
  <c r="L28" i="9" s="1"/>
  <c r="F14" i="9"/>
  <c r="L14" i="9" s="1"/>
  <c r="F13" i="9"/>
  <c r="L13" i="9" s="1"/>
  <c r="F5" i="9"/>
  <c r="L5" i="9" s="1"/>
  <c r="F6" i="9"/>
  <c r="L6" i="9" s="1"/>
  <c r="F7" i="9"/>
  <c r="L7" i="9" s="1"/>
  <c r="F8" i="9"/>
  <c r="F9" i="9"/>
  <c r="F10" i="9"/>
  <c r="L10" i="9" s="1"/>
  <c r="F11" i="9"/>
  <c r="L11" i="9" s="1"/>
  <c r="F12" i="9"/>
  <c r="L12" i="9" s="1"/>
  <c r="D11" i="8"/>
  <c r="F73" i="7"/>
  <c r="F69" i="7"/>
  <c r="F68" i="7"/>
  <c r="J63" i="7"/>
  <c r="F63" i="7"/>
  <c r="L63" i="7" s="1"/>
  <c r="F64" i="7"/>
  <c r="F59" i="7"/>
  <c r="L59" i="7" s="1"/>
  <c r="F60" i="7"/>
  <c r="F61" i="7"/>
  <c r="F62" i="7"/>
  <c r="L62" i="7" s="1"/>
  <c r="F58" i="7"/>
  <c r="F54" i="7"/>
  <c r="L54" i="7" s="1"/>
  <c r="F46" i="7"/>
  <c r="L46" i="7" s="1"/>
  <c r="F47" i="7"/>
  <c r="L47" i="7" s="1"/>
  <c r="F48" i="7"/>
  <c r="L48" i="7" s="1"/>
  <c r="F49" i="7"/>
  <c r="L49" i="7" s="1"/>
  <c r="F50" i="7"/>
  <c r="L50" i="7" s="1"/>
  <c r="F53" i="7"/>
  <c r="L53" i="7" s="1"/>
  <c r="F45" i="7"/>
  <c r="L45" i="7" s="1"/>
  <c r="F41" i="7"/>
  <c r="L41" i="7" s="1"/>
  <c r="F39" i="7"/>
  <c r="L39" i="7" s="1"/>
  <c r="F40" i="7"/>
  <c r="L40" i="7" s="1"/>
  <c r="F38" i="7"/>
  <c r="L38" i="7" s="1"/>
  <c r="F34" i="7"/>
  <c r="L34" i="7" s="1"/>
  <c r="F26" i="7"/>
  <c r="L26" i="7" s="1"/>
  <c r="F27" i="7"/>
  <c r="L27" i="7" s="1"/>
  <c r="F28" i="7"/>
  <c r="F29" i="7"/>
  <c r="L29" i="7" s="1"/>
  <c r="F30" i="7"/>
  <c r="L30" i="7" s="1"/>
  <c r="F31" i="7"/>
  <c r="L31" i="7" s="1"/>
  <c r="F32" i="7"/>
  <c r="L32" i="7" s="1"/>
  <c r="F33" i="7"/>
  <c r="L33" i="7" s="1"/>
  <c r="F25" i="7"/>
  <c r="L25" i="7" s="1"/>
  <c r="F11" i="7"/>
  <c r="L11" i="7" s="1"/>
  <c r="F6" i="7"/>
  <c r="F7" i="7"/>
  <c r="L7" i="7" s="1"/>
  <c r="F8" i="7"/>
  <c r="L8" i="7" s="1"/>
  <c r="F9" i="7"/>
  <c r="L9" i="7" s="1"/>
  <c r="F5" i="7"/>
  <c r="L5" i="7" s="1"/>
  <c r="F100" i="6"/>
  <c r="F96" i="6"/>
  <c r="F97" i="6"/>
  <c r="F98" i="6"/>
  <c r="F99" i="6"/>
  <c r="F95" i="6"/>
  <c r="F86" i="6"/>
  <c r="F85" i="6"/>
  <c r="F90" i="6"/>
  <c r="J80" i="6"/>
  <c r="F80" i="6"/>
  <c r="L80" i="6" s="1"/>
  <c r="F81" i="6"/>
  <c r="F76" i="6"/>
  <c r="L76" i="6" s="1"/>
  <c r="F77" i="6"/>
  <c r="F78" i="6"/>
  <c r="F79" i="6"/>
  <c r="L79" i="6" s="1"/>
  <c r="F75" i="6"/>
  <c r="F71" i="6"/>
  <c r="L71" i="6" s="1"/>
  <c r="F58" i="6"/>
  <c r="L58" i="6" s="1"/>
  <c r="F59" i="6"/>
  <c r="L59" i="6" s="1"/>
  <c r="F60" i="6"/>
  <c r="L60" i="6" s="1"/>
  <c r="F61" i="6"/>
  <c r="L61" i="6" s="1"/>
  <c r="F62" i="6"/>
  <c r="L62" i="6" s="1"/>
  <c r="F63" i="6"/>
  <c r="L63" i="6" s="1"/>
  <c r="F64" i="6"/>
  <c r="L64" i="6" s="1"/>
  <c r="F65" i="6"/>
  <c r="L65" i="6" s="1"/>
  <c r="F66" i="6"/>
  <c r="L66" i="6" s="1"/>
  <c r="F70" i="6"/>
  <c r="L70" i="6" s="1"/>
  <c r="F57" i="6"/>
  <c r="L57" i="6" s="1"/>
  <c r="F53" i="6"/>
  <c r="L53" i="6" s="1"/>
  <c r="F51" i="6"/>
  <c r="L51" i="6" s="1"/>
  <c r="F52" i="6"/>
  <c r="L52" i="6" s="1"/>
  <c r="F50" i="6"/>
  <c r="L50" i="6" s="1"/>
  <c r="F46" i="6"/>
  <c r="L46" i="6" s="1"/>
  <c r="F43" i="6"/>
  <c r="L43" i="6" s="1"/>
  <c r="F44" i="6"/>
  <c r="L44" i="6" s="1"/>
  <c r="F45" i="6"/>
  <c r="L45" i="6" s="1"/>
  <c r="F32" i="6"/>
  <c r="L32" i="6" s="1"/>
  <c r="F33" i="6"/>
  <c r="L33" i="6" s="1"/>
  <c r="F34" i="6"/>
  <c r="L34" i="6" s="1"/>
  <c r="F35" i="6"/>
  <c r="L35" i="6" s="1"/>
  <c r="F37" i="6"/>
  <c r="F38" i="6"/>
  <c r="L38" i="6" s="1"/>
  <c r="F39" i="6"/>
  <c r="L39" i="6" s="1"/>
  <c r="F40" i="6"/>
  <c r="L40" i="6" s="1"/>
  <c r="F41" i="6"/>
  <c r="L41" i="6" s="1"/>
  <c r="F42" i="6"/>
  <c r="L42" i="6" s="1"/>
  <c r="F31" i="6"/>
  <c r="L31" i="6" s="1"/>
  <c r="J7" i="6"/>
  <c r="J8" i="6"/>
  <c r="J15" i="6"/>
  <c r="J16" i="6"/>
  <c r="F16" i="6"/>
  <c r="L16" i="6" s="1"/>
  <c r="F17" i="6"/>
  <c r="L17" i="6" s="1"/>
  <c r="F14" i="6"/>
  <c r="L14" i="6" s="1"/>
  <c r="F7" i="6"/>
  <c r="L7" i="6" s="1"/>
  <c r="F8" i="6"/>
  <c r="L8" i="6" s="1"/>
  <c r="F15" i="6"/>
  <c r="L15" i="6" s="1"/>
  <c r="F9" i="6"/>
  <c r="L9" i="6" s="1"/>
  <c r="F10" i="6"/>
  <c r="L10" i="6" s="1"/>
  <c r="F11" i="6"/>
  <c r="F12" i="6"/>
  <c r="L12" i="6" s="1"/>
  <c r="F13" i="6"/>
  <c r="L13" i="6" s="1"/>
  <c r="F6" i="6"/>
  <c r="L6" i="6" s="1"/>
  <c r="F98" i="5"/>
  <c r="F99" i="5"/>
  <c r="F100" i="5"/>
  <c r="F96" i="5"/>
  <c r="F89" i="5"/>
  <c r="F85" i="5"/>
  <c r="F84" i="5"/>
  <c r="J76" i="5"/>
  <c r="F76" i="5"/>
  <c r="L76" i="5" s="1"/>
  <c r="F80" i="5"/>
  <c r="F79" i="5"/>
  <c r="F73" i="5"/>
  <c r="L73" i="5" s="1"/>
  <c r="F74" i="5"/>
  <c r="F75" i="5"/>
  <c r="F77" i="5"/>
  <c r="L77" i="5" s="1"/>
  <c r="F78" i="5"/>
  <c r="L78" i="5" s="1"/>
  <c r="F72" i="5"/>
  <c r="F68" i="5"/>
  <c r="L68" i="5" s="1"/>
  <c r="F57" i="5"/>
  <c r="L57" i="5" s="1"/>
  <c r="F58" i="5"/>
  <c r="L58" i="5" s="1"/>
  <c r="F59" i="5"/>
  <c r="L59" i="5" s="1"/>
  <c r="F60" i="5"/>
  <c r="L60" i="5" s="1"/>
  <c r="F61" i="5"/>
  <c r="L61" i="5" s="1"/>
  <c r="F62" i="5"/>
  <c r="L62" i="5" s="1"/>
  <c r="F66" i="5"/>
  <c r="L66" i="5" s="1"/>
  <c r="F67" i="5"/>
  <c r="L67" i="5" s="1"/>
  <c r="F56" i="5"/>
  <c r="L56" i="5" s="1"/>
  <c r="F52" i="5"/>
  <c r="L52" i="5" s="1"/>
  <c r="F50" i="5"/>
  <c r="L50" i="5" s="1"/>
  <c r="F51" i="5"/>
  <c r="L51" i="5" s="1"/>
  <c r="F49" i="5"/>
  <c r="L49" i="5" s="1"/>
  <c r="J29" i="5"/>
  <c r="J30" i="5"/>
  <c r="J31" i="5"/>
  <c r="J32" i="5"/>
  <c r="J33" i="5"/>
  <c r="J34" i="5"/>
  <c r="J35" i="5"/>
  <c r="J36" i="5"/>
  <c r="J37" i="5"/>
  <c r="J38" i="5"/>
  <c r="J39" i="5"/>
  <c r="J41" i="5"/>
  <c r="J42" i="5"/>
  <c r="F45" i="5"/>
  <c r="L45" i="5" s="1"/>
  <c r="F44" i="5"/>
  <c r="L44" i="5" s="1"/>
  <c r="F40" i="5"/>
  <c r="L40" i="5" s="1"/>
  <c r="F41" i="5"/>
  <c r="L41" i="5" s="1"/>
  <c r="F42" i="5"/>
  <c r="L42" i="5" s="1"/>
  <c r="F43" i="5"/>
  <c r="L43" i="5" s="1"/>
  <c r="F30" i="5"/>
  <c r="L30" i="5" s="1"/>
  <c r="F31" i="5"/>
  <c r="L31" i="5" s="1"/>
  <c r="F32" i="5"/>
  <c r="L32" i="5" s="1"/>
  <c r="F33" i="5"/>
  <c r="L33" i="5" s="1"/>
  <c r="F34" i="5"/>
  <c r="L34" i="5" s="1"/>
  <c r="F35" i="5"/>
  <c r="F36" i="5"/>
  <c r="L36" i="5" s="1"/>
  <c r="F37" i="5"/>
  <c r="L37" i="5" s="1"/>
  <c r="F38" i="5"/>
  <c r="L38" i="5" s="1"/>
  <c r="F39" i="5"/>
  <c r="L39" i="5" s="1"/>
  <c r="F29" i="5"/>
  <c r="F15" i="5" l="1"/>
  <c r="L15" i="5" s="1"/>
  <c r="F6" i="5"/>
  <c r="L6" i="5" s="1"/>
  <c r="F7" i="5"/>
  <c r="F8" i="5"/>
  <c r="L8" i="5" s="1"/>
  <c r="F12" i="5"/>
  <c r="L12" i="5" s="1"/>
  <c r="F14" i="5"/>
  <c r="L14" i="5" s="1"/>
  <c r="F5" i="5"/>
  <c r="L5" i="5" s="1"/>
  <c r="F55" i="3"/>
  <c r="F57" i="3"/>
  <c r="F56" i="3"/>
  <c r="E58" i="3"/>
  <c r="E19" i="3" s="1"/>
  <c r="D58" i="3"/>
  <c r="D19" i="3" s="1"/>
  <c r="F51" i="3"/>
  <c r="F53" i="3" s="1"/>
  <c r="F48" i="3"/>
  <c r="F44" i="3"/>
  <c r="F45" i="3"/>
  <c r="F46" i="3"/>
  <c r="F47" i="3"/>
  <c r="L47" i="3" s="1"/>
  <c r="F43" i="3"/>
  <c r="F40" i="3"/>
  <c r="L40" i="3" s="1"/>
  <c r="F25" i="3"/>
  <c r="L25" i="3" s="1"/>
  <c r="F26" i="3"/>
  <c r="L26" i="3" s="1"/>
  <c r="F27" i="3"/>
  <c r="L27" i="3" s="1"/>
  <c r="F28" i="3"/>
  <c r="L28" i="3" s="1"/>
  <c r="F29" i="3"/>
  <c r="L29" i="3" s="1"/>
  <c r="F30" i="3"/>
  <c r="L30" i="3" s="1"/>
  <c r="F31" i="3"/>
  <c r="L31" i="3" s="1"/>
  <c r="F32" i="3"/>
  <c r="L32" i="3" s="1"/>
  <c r="F33" i="3"/>
  <c r="L33" i="3" s="1"/>
  <c r="F34" i="3"/>
  <c r="L34" i="3" s="1"/>
  <c r="F35" i="3"/>
  <c r="L35" i="3" s="1"/>
  <c r="F36" i="3"/>
  <c r="L36" i="3" s="1"/>
  <c r="F37" i="3"/>
  <c r="L37" i="3" s="1"/>
  <c r="F38" i="3"/>
  <c r="L38" i="3" s="1"/>
  <c r="F39" i="3"/>
  <c r="L39" i="3" s="1"/>
  <c r="F24" i="3"/>
  <c r="L24" i="3" s="1"/>
  <c r="F8" i="3"/>
  <c r="F11" i="3"/>
  <c r="F6" i="3"/>
  <c r="F7" i="3"/>
  <c r="F10" i="3"/>
  <c r="F5" i="3"/>
  <c r="F93" i="2"/>
  <c r="F92" i="2"/>
  <c r="F96" i="2"/>
  <c r="F88" i="2"/>
  <c r="F82" i="2"/>
  <c r="M82" i="2" s="1"/>
  <c r="F83" i="2"/>
  <c r="F84" i="2"/>
  <c r="F85" i="2"/>
  <c r="M85" i="2" s="1"/>
  <c r="F87" i="2"/>
  <c r="F81" i="2"/>
  <c r="F77" i="2"/>
  <c r="M77" i="2" s="1"/>
  <c r="F68" i="2"/>
  <c r="M68" i="2" s="1"/>
  <c r="F70" i="2"/>
  <c r="M70" i="2" s="1"/>
  <c r="F71" i="2"/>
  <c r="M71" i="2" s="1"/>
  <c r="F72" i="2"/>
  <c r="M72" i="2" s="1"/>
  <c r="F73" i="2"/>
  <c r="M73" i="2" s="1"/>
  <c r="F76" i="2"/>
  <c r="M76" i="2" s="1"/>
  <c r="F67" i="2"/>
  <c r="M67" i="2" s="1"/>
  <c r="F63" i="2"/>
  <c r="L63" i="2" s="1"/>
  <c r="F61" i="2"/>
  <c r="L61" i="2" s="1"/>
  <c r="F62" i="2"/>
  <c r="L62" i="2" s="1"/>
  <c r="F60" i="2"/>
  <c r="L60" i="2" s="1"/>
  <c r="F56" i="2"/>
  <c r="M56" i="2" s="1"/>
  <c r="F39" i="2"/>
  <c r="F40" i="2"/>
  <c r="M40" i="2" s="1"/>
  <c r="F41" i="2"/>
  <c r="M41" i="2" s="1"/>
  <c r="F42" i="2"/>
  <c r="M42" i="2" s="1"/>
  <c r="F43" i="2"/>
  <c r="M43" i="2" s="1"/>
  <c r="F44" i="2"/>
  <c r="M44" i="2" s="1"/>
  <c r="F45" i="2"/>
  <c r="M45" i="2" s="1"/>
  <c r="F46" i="2"/>
  <c r="M46" i="2" s="1"/>
  <c r="F47" i="2"/>
  <c r="M47" i="2" s="1"/>
  <c r="F48" i="2"/>
  <c r="M48" i="2" s="1"/>
  <c r="F49" i="2"/>
  <c r="M49" i="2" s="1"/>
  <c r="F50" i="2"/>
  <c r="M50" i="2" s="1"/>
  <c r="F51" i="2"/>
  <c r="M51" i="2" s="1"/>
  <c r="F52" i="2"/>
  <c r="M52" i="2" s="1"/>
  <c r="F53" i="2"/>
  <c r="M53" i="2" s="1"/>
  <c r="F54" i="2"/>
  <c r="M54" i="2" s="1"/>
  <c r="F55" i="2"/>
  <c r="M55" i="2" s="1"/>
  <c r="F38" i="2"/>
  <c r="F26" i="2"/>
  <c r="M26" i="2" s="1"/>
  <c r="F6" i="2"/>
  <c r="F7" i="2"/>
  <c r="F8" i="2"/>
  <c r="F9" i="2"/>
  <c r="F10" i="2"/>
  <c r="F11" i="2"/>
  <c r="F12" i="2"/>
  <c r="F13" i="2"/>
  <c r="F14" i="2"/>
  <c r="F15" i="2"/>
  <c r="F16" i="2"/>
  <c r="F18" i="2"/>
  <c r="F19" i="2"/>
  <c r="F20" i="2"/>
  <c r="F21" i="2"/>
  <c r="F22" i="2"/>
  <c r="F23" i="2"/>
  <c r="M23" i="2" s="1"/>
  <c r="F25" i="2"/>
  <c r="F5" i="2"/>
  <c r="L39" i="2" l="1"/>
  <c r="M39" i="2"/>
  <c r="F58" i="3"/>
  <c r="F101" i="4"/>
  <c r="F97" i="4"/>
  <c r="F98" i="4"/>
  <c r="F100" i="4"/>
  <c r="F96" i="4"/>
  <c r="F88" i="4"/>
  <c r="F84" i="4"/>
  <c r="F83" i="4"/>
  <c r="F79" i="4"/>
  <c r="F72" i="4"/>
  <c r="L72" i="4" s="1"/>
  <c r="F73" i="4"/>
  <c r="F74" i="4"/>
  <c r="F75" i="4"/>
  <c r="L75" i="4" s="1"/>
  <c r="F76" i="4"/>
  <c r="L76" i="4" s="1"/>
  <c r="F77" i="4"/>
  <c r="L77" i="4" s="1"/>
  <c r="F78" i="4"/>
  <c r="F71" i="4"/>
  <c r="F67" i="4"/>
  <c r="L67" i="4" s="1"/>
  <c r="F54" i="4"/>
  <c r="L54" i="4" s="1"/>
  <c r="F55" i="4"/>
  <c r="L55" i="4" s="1"/>
  <c r="F56" i="4"/>
  <c r="L56" i="4" s="1"/>
  <c r="F58" i="4"/>
  <c r="L58" i="4" s="1"/>
  <c r="F59" i="4"/>
  <c r="L59" i="4" s="1"/>
  <c r="F60" i="4"/>
  <c r="L60" i="4" s="1"/>
  <c r="F64" i="4"/>
  <c r="L64" i="4" s="1"/>
  <c r="F65" i="4"/>
  <c r="L65" i="4" s="1"/>
  <c r="F66" i="4"/>
  <c r="L66" i="4" s="1"/>
  <c r="F53" i="4"/>
  <c r="L53" i="4" s="1"/>
  <c r="F49" i="4"/>
  <c r="L49" i="4" s="1"/>
  <c r="F47" i="4"/>
  <c r="L47" i="4" s="1"/>
  <c r="F48" i="4"/>
  <c r="L48" i="4" s="1"/>
  <c r="F46" i="4"/>
  <c r="L46" i="4" s="1"/>
  <c r="F42" i="4"/>
  <c r="L42" i="4" s="1"/>
  <c r="F27" i="4"/>
  <c r="L27" i="4" s="1"/>
  <c r="F28" i="4"/>
  <c r="L28" i="4" s="1"/>
  <c r="F29" i="4"/>
  <c r="L29" i="4" s="1"/>
  <c r="F30" i="4"/>
  <c r="L30" i="4" s="1"/>
  <c r="F31" i="4"/>
  <c r="L31" i="4" s="1"/>
  <c r="F32" i="4"/>
  <c r="F33" i="4"/>
  <c r="L33" i="4" s="1"/>
  <c r="F34" i="4"/>
  <c r="L34" i="4" s="1"/>
  <c r="F35" i="4"/>
  <c r="L35" i="4" s="1"/>
  <c r="F36" i="4"/>
  <c r="L36" i="4" s="1"/>
  <c r="F37" i="4"/>
  <c r="L37" i="4" s="1"/>
  <c r="F38" i="4"/>
  <c r="L38" i="4" s="1"/>
  <c r="F39" i="4"/>
  <c r="L39" i="4" s="1"/>
  <c r="F40" i="4"/>
  <c r="L40" i="4" s="1"/>
  <c r="F41" i="4"/>
  <c r="L41" i="4" s="1"/>
  <c r="F26" i="4"/>
  <c r="L26" i="4" s="1"/>
  <c r="J75" i="4"/>
  <c r="F12" i="4"/>
  <c r="L12" i="4" s="1"/>
  <c r="F6" i="4"/>
  <c r="L6" i="4" s="1"/>
  <c r="F7" i="4"/>
  <c r="F8" i="4"/>
  <c r="L8" i="4" s="1"/>
  <c r="F9" i="4"/>
  <c r="L9" i="4" s="1"/>
  <c r="F11" i="4"/>
  <c r="L11" i="4" s="1"/>
  <c r="F5" i="4"/>
  <c r="L5" i="4" s="1"/>
  <c r="J19" i="2" l="1"/>
  <c r="G76" i="8"/>
  <c r="C6" i="15" l="1"/>
  <c r="C7" i="15"/>
  <c r="C13" i="15"/>
  <c r="C27" i="15"/>
  <c r="C28" i="15"/>
  <c r="C29" i="15"/>
  <c r="C33" i="15"/>
  <c r="C38" i="15"/>
  <c r="C40" i="15"/>
  <c r="C41" i="15"/>
  <c r="C42" i="15"/>
  <c r="C43" i="15"/>
  <c r="C44" i="15"/>
  <c r="C45" i="15"/>
  <c r="C46" i="15"/>
  <c r="C50" i="15"/>
  <c r="C51" i="15"/>
  <c r="C52" i="15"/>
  <c r="C53" i="15"/>
  <c r="C57" i="15"/>
  <c r="C58" i="15"/>
  <c r="C59" i="15"/>
  <c r="C60" i="15"/>
  <c r="C61" i="15"/>
  <c r="C62" i="15"/>
  <c r="C63" i="15"/>
  <c r="C64" i="15"/>
  <c r="C65" i="15"/>
  <c r="C68" i="15"/>
  <c r="C69" i="15"/>
  <c r="C74" i="15"/>
  <c r="C75" i="15"/>
  <c r="C76" i="15"/>
  <c r="C77" i="15"/>
  <c r="C78" i="15"/>
  <c r="C79" i="15"/>
  <c r="C80" i="15"/>
  <c r="C88" i="15"/>
  <c r="C20" i="15" s="1"/>
  <c r="C92" i="15"/>
  <c r="C21" i="15" s="1"/>
  <c r="C22" i="15"/>
  <c r="C47" i="15" l="1"/>
  <c r="C16" i="15" s="1"/>
  <c r="C71" i="15"/>
  <c r="C18" i="15" s="1"/>
  <c r="C54" i="15"/>
  <c r="C17" i="15" s="1"/>
  <c r="C14" i="15"/>
  <c r="C82" i="15"/>
  <c r="C19" i="15" s="1"/>
  <c r="G68" i="8"/>
  <c r="G64" i="8"/>
  <c r="G59" i="8"/>
  <c r="L59" i="8" s="1"/>
  <c r="G60" i="8"/>
  <c r="G61" i="8"/>
  <c r="G62" i="8"/>
  <c r="L62" i="8" s="1"/>
  <c r="G58" i="8"/>
  <c r="C23" i="15" l="1"/>
  <c r="C25" i="15" s="1"/>
  <c r="G54" i="8"/>
  <c r="L54" i="8" s="1"/>
  <c r="G45" i="8"/>
  <c r="L45" i="8" s="1"/>
  <c r="G46" i="8"/>
  <c r="L46" i="8" s="1"/>
  <c r="G47" i="8"/>
  <c r="L47" i="8" s="1"/>
  <c r="G48" i="8"/>
  <c r="L48" i="8" s="1"/>
  <c r="G49" i="8"/>
  <c r="L49" i="8" s="1"/>
  <c r="G53" i="8"/>
  <c r="L53" i="8" s="1"/>
  <c r="G44" i="8"/>
  <c r="L44" i="8" s="1"/>
  <c r="G40" i="8"/>
  <c r="L40" i="8" s="1"/>
  <c r="G38" i="8"/>
  <c r="L38" i="8" s="1"/>
  <c r="G39" i="8"/>
  <c r="L39" i="8" s="1"/>
  <c r="G37" i="8"/>
  <c r="L37" i="8" s="1"/>
  <c r="G33" i="8"/>
  <c r="L33" i="8" s="1"/>
  <c r="G24" i="8"/>
  <c r="L24" i="8" s="1"/>
  <c r="G25" i="8"/>
  <c r="L25" i="8" s="1"/>
  <c r="G26" i="8"/>
  <c r="L26" i="8" s="1"/>
  <c r="G27" i="8"/>
  <c r="G28" i="8"/>
  <c r="L28" i="8" s="1"/>
  <c r="G29" i="8"/>
  <c r="L29" i="8" s="1"/>
  <c r="G30" i="8"/>
  <c r="L30" i="8" s="1"/>
  <c r="G31" i="8"/>
  <c r="L31" i="8" s="1"/>
  <c r="G32" i="8"/>
  <c r="L32" i="8" s="1"/>
  <c r="G23" i="8"/>
  <c r="L23" i="8" s="1"/>
  <c r="G10" i="8"/>
  <c r="L10" i="8" s="1"/>
  <c r="G6" i="8"/>
  <c r="G7" i="8"/>
  <c r="L7" i="8" s="1"/>
  <c r="G8" i="8"/>
  <c r="L8" i="8" s="1"/>
  <c r="G9" i="8"/>
  <c r="L9" i="8" s="1"/>
  <c r="G5" i="8"/>
  <c r="L5" i="8" s="1"/>
  <c r="F104" i="15" l="1"/>
  <c r="F100" i="15"/>
  <c r="F101" i="15"/>
  <c r="F103" i="15"/>
  <c r="F99" i="15"/>
  <c r="F91" i="15"/>
  <c r="F87" i="15"/>
  <c r="F85" i="15"/>
  <c r="F81" i="15"/>
  <c r="H190" i="1" s="1"/>
  <c r="F75" i="15"/>
  <c r="F76" i="15"/>
  <c r="F77" i="15"/>
  <c r="F78" i="15"/>
  <c r="F79" i="15"/>
  <c r="F80" i="15"/>
  <c r="F74" i="15"/>
  <c r="F70" i="15"/>
  <c r="F58" i="15"/>
  <c r="L58" i="15" s="1"/>
  <c r="F59" i="15"/>
  <c r="L59" i="15" s="1"/>
  <c r="F60" i="15"/>
  <c r="L60" i="15" s="1"/>
  <c r="F63" i="15"/>
  <c r="L63" i="15" s="1"/>
  <c r="F64" i="15"/>
  <c r="F65" i="15"/>
  <c r="L65" i="15" s="1"/>
  <c r="F66" i="15"/>
  <c r="F67" i="15"/>
  <c r="F68" i="15"/>
  <c r="L68" i="15" s="1"/>
  <c r="F69" i="15"/>
  <c r="L69" i="15" s="1"/>
  <c r="F57" i="15"/>
  <c r="L57" i="15" s="1"/>
  <c r="F53" i="15"/>
  <c r="L53" i="15" s="1"/>
  <c r="F51" i="15"/>
  <c r="L51" i="15" s="1"/>
  <c r="F52" i="15"/>
  <c r="L52" i="15" s="1"/>
  <c r="F50" i="15"/>
  <c r="L50" i="15" s="1"/>
  <c r="J39" i="15"/>
  <c r="F46" i="15"/>
  <c r="L46" i="15" s="1"/>
  <c r="F29" i="15"/>
  <c r="L29" i="15" s="1"/>
  <c r="F30" i="15"/>
  <c r="L30" i="15" s="1"/>
  <c r="F31" i="15"/>
  <c r="L31" i="15" s="1"/>
  <c r="F32" i="15"/>
  <c r="L32" i="15" s="1"/>
  <c r="F33" i="15"/>
  <c r="F34" i="15"/>
  <c r="F35" i="15"/>
  <c r="F36" i="15"/>
  <c r="F37" i="15"/>
  <c r="L37" i="15" s="1"/>
  <c r="F38" i="15"/>
  <c r="L38" i="15" s="1"/>
  <c r="F39" i="15"/>
  <c r="L39" i="15" s="1"/>
  <c r="F40" i="15"/>
  <c r="L40" i="15" s="1"/>
  <c r="F41" i="15"/>
  <c r="L41" i="15" s="1"/>
  <c r="F42" i="15"/>
  <c r="L42" i="15" s="1"/>
  <c r="F44" i="15"/>
  <c r="L44" i="15" s="1"/>
  <c r="F45" i="15"/>
  <c r="L45" i="15" s="1"/>
  <c r="F27" i="15"/>
  <c r="L27" i="15" s="1"/>
  <c r="F13" i="15"/>
  <c r="F6" i="15"/>
  <c r="F7" i="15"/>
  <c r="F9" i="15"/>
  <c r="F10" i="15"/>
  <c r="F11" i="15"/>
  <c r="F12" i="15"/>
  <c r="F5" i="15"/>
  <c r="F62" i="15" l="1"/>
  <c r="L62" i="15" s="1"/>
  <c r="N28" i="15"/>
  <c r="N30" i="15" s="1"/>
  <c r="F43" i="15" l="1"/>
  <c r="L43" i="15" s="1"/>
  <c r="J31" i="15"/>
  <c r="J66" i="15" l="1"/>
  <c r="J67" i="15"/>
  <c r="D71" i="15" l="1"/>
  <c r="D18" i="15" s="1"/>
  <c r="J36" i="15" l="1"/>
  <c r="J35" i="15"/>
  <c r="J34" i="15"/>
  <c r="A43" i="1" l="1"/>
  <c r="A65" i="1" s="1"/>
  <c r="A83" i="1" s="1"/>
  <c r="A102" i="1" s="1"/>
  <c r="A120" i="1" s="1"/>
  <c r="A139" i="1" s="1"/>
  <c r="A157" i="1" s="1"/>
  <c r="A175" i="1" s="1"/>
  <c r="A42" i="1"/>
  <c r="A64" i="1" s="1"/>
  <c r="A82" i="1" s="1"/>
  <c r="A101" i="1" s="1"/>
  <c r="A119" i="1" s="1"/>
  <c r="A138" i="1" s="1"/>
  <c r="A156" i="1" s="1"/>
  <c r="A174" i="1" s="1"/>
  <c r="C98" i="14"/>
  <c r="C21" i="14" s="1"/>
  <c r="J97" i="14"/>
  <c r="J96" i="14"/>
  <c r="H96" i="14"/>
  <c r="J95" i="14"/>
  <c r="H95" i="14"/>
  <c r="E95" i="14"/>
  <c r="F95" i="14" s="1"/>
  <c r="J94" i="14"/>
  <c r="J93" i="14"/>
  <c r="J92" i="14"/>
  <c r="D90" i="14"/>
  <c r="H90" i="14" s="1"/>
  <c r="I90" i="14" s="1"/>
  <c r="J90" i="14" s="1"/>
  <c r="D89" i="14"/>
  <c r="E89" i="14" s="1"/>
  <c r="D88" i="14"/>
  <c r="D87" i="14"/>
  <c r="E87" i="14" s="1"/>
  <c r="F87" i="14" s="1"/>
  <c r="I85" i="14"/>
  <c r="I20" i="14" s="1"/>
  <c r="H85" i="14"/>
  <c r="E85" i="14"/>
  <c r="E20" i="14" s="1"/>
  <c r="F20" i="14" s="1"/>
  <c r="D85" i="14"/>
  <c r="C85" i="14"/>
  <c r="C20" i="14" s="1"/>
  <c r="J84" i="14"/>
  <c r="J85" i="14" s="1"/>
  <c r="J20" i="14" s="1"/>
  <c r="F85" i="14"/>
  <c r="H156" i="1" s="1"/>
  <c r="I81" i="14"/>
  <c r="I19" i="14" s="1"/>
  <c r="H81" i="14"/>
  <c r="H19" i="14" s="1"/>
  <c r="E81" i="14"/>
  <c r="E19" i="14" s="1"/>
  <c r="F19" i="14" s="1"/>
  <c r="D81" i="14"/>
  <c r="D19" i="14" s="1"/>
  <c r="C81" i="14"/>
  <c r="C19" i="14" s="1"/>
  <c r="J80" i="14"/>
  <c r="J79" i="14"/>
  <c r="I76" i="14"/>
  <c r="I18" i="14" s="1"/>
  <c r="E76" i="14"/>
  <c r="E18" i="14" s="1"/>
  <c r="F18" i="14" s="1"/>
  <c r="D76" i="14"/>
  <c r="D18" i="14" s="1"/>
  <c r="J75" i="14"/>
  <c r="J74" i="14"/>
  <c r="H74" i="14"/>
  <c r="C74" i="14"/>
  <c r="J73" i="14"/>
  <c r="H73" i="14"/>
  <c r="C73" i="14"/>
  <c r="J72" i="14"/>
  <c r="H72" i="14"/>
  <c r="C72" i="14"/>
  <c r="J71" i="14"/>
  <c r="H71" i="14"/>
  <c r="C71" i="14"/>
  <c r="J70" i="14"/>
  <c r="H70" i="14"/>
  <c r="L70" i="14"/>
  <c r="C70" i="14"/>
  <c r="J69" i="14"/>
  <c r="H69" i="14"/>
  <c r="C69" i="14"/>
  <c r="D66" i="14"/>
  <c r="J65" i="14"/>
  <c r="H65" i="14"/>
  <c r="J64" i="14"/>
  <c r="H64" i="14"/>
  <c r="J60" i="14"/>
  <c r="H60" i="14"/>
  <c r="C60" i="14"/>
  <c r="J59" i="14"/>
  <c r="H59" i="14"/>
  <c r="C59" i="14"/>
  <c r="J58" i="14"/>
  <c r="H58" i="14"/>
  <c r="C58" i="14"/>
  <c r="H57" i="14"/>
  <c r="I57" i="14" s="1"/>
  <c r="E57" i="14"/>
  <c r="C57" i="14"/>
  <c r="J56" i="14"/>
  <c r="H56" i="14"/>
  <c r="C56" i="14"/>
  <c r="J55" i="14"/>
  <c r="H55" i="14"/>
  <c r="C55" i="14"/>
  <c r="J54" i="14"/>
  <c r="H54" i="14"/>
  <c r="C54" i="14"/>
  <c r="J53" i="14"/>
  <c r="H53" i="14"/>
  <c r="C53" i="14"/>
  <c r="I50" i="14"/>
  <c r="E50" i="14"/>
  <c r="D50" i="14"/>
  <c r="D16" i="14" s="1"/>
  <c r="J49" i="14"/>
  <c r="H49" i="14"/>
  <c r="C49" i="14"/>
  <c r="J48" i="14"/>
  <c r="H48" i="14"/>
  <c r="C48" i="14"/>
  <c r="J47" i="14"/>
  <c r="H47" i="14"/>
  <c r="C47" i="14"/>
  <c r="J46" i="14"/>
  <c r="H46" i="14"/>
  <c r="C46" i="14"/>
  <c r="I43" i="14"/>
  <c r="I15" i="14" s="1"/>
  <c r="E43" i="14"/>
  <c r="E15" i="14" s="1"/>
  <c r="F15" i="14" s="1"/>
  <c r="D43" i="14"/>
  <c r="D15" i="14" s="1"/>
  <c r="J42" i="14"/>
  <c r="H42" i="14"/>
  <c r="C42" i="14"/>
  <c r="J41" i="14"/>
  <c r="H41" i="14"/>
  <c r="C41" i="14"/>
  <c r="J40" i="14"/>
  <c r="H40" i="14"/>
  <c r="C40" i="14"/>
  <c r="J39" i="14"/>
  <c r="H39" i="14"/>
  <c r="C39" i="14"/>
  <c r="J38" i="14"/>
  <c r="H38" i="14"/>
  <c r="C38" i="14"/>
  <c r="J37" i="14"/>
  <c r="H37" i="14"/>
  <c r="C37" i="14"/>
  <c r="J36" i="14"/>
  <c r="H36" i="14"/>
  <c r="C36" i="14"/>
  <c r="J34" i="14"/>
  <c r="H34" i="14"/>
  <c r="C34" i="14"/>
  <c r="J33" i="14"/>
  <c r="J32" i="14"/>
  <c r="H32" i="14"/>
  <c r="C32" i="14"/>
  <c r="J31" i="14"/>
  <c r="H31" i="14"/>
  <c r="J30" i="14"/>
  <c r="H30" i="14"/>
  <c r="J29" i="14"/>
  <c r="H29" i="14"/>
  <c r="C29" i="14"/>
  <c r="J28" i="14"/>
  <c r="H28" i="14"/>
  <c r="C28" i="14"/>
  <c r="J27" i="14"/>
  <c r="H27" i="14"/>
  <c r="C27" i="14"/>
  <c r="J26" i="14"/>
  <c r="C26" i="14"/>
  <c r="H20" i="14"/>
  <c r="I13" i="14"/>
  <c r="J12" i="14"/>
  <c r="H12" i="14"/>
  <c r="L12" i="14"/>
  <c r="C12" i="14"/>
  <c r="J11" i="14"/>
  <c r="L11" i="14"/>
  <c r="J10" i="14"/>
  <c r="L10" i="14"/>
  <c r="J9" i="14"/>
  <c r="L9" i="14"/>
  <c r="J8" i="14"/>
  <c r="H8" i="14"/>
  <c r="L8" i="14"/>
  <c r="J7" i="14"/>
  <c r="H7" i="14"/>
  <c r="E13" i="14"/>
  <c r="C7" i="14"/>
  <c r="J6" i="14"/>
  <c r="H6" i="14"/>
  <c r="C6" i="14"/>
  <c r="J5" i="14"/>
  <c r="A41" i="1"/>
  <c r="A63" i="1" s="1"/>
  <c r="A81" i="1" s="1"/>
  <c r="A100" i="1" s="1"/>
  <c r="A118" i="1" s="1"/>
  <c r="A137" i="1" s="1"/>
  <c r="A155" i="1" s="1"/>
  <c r="A173" i="1" s="1"/>
  <c r="E23" i="1"/>
  <c r="A62" i="1"/>
  <c r="A80" i="1" s="1"/>
  <c r="A99" i="1" s="1"/>
  <c r="A117" i="1" s="1"/>
  <c r="A136" i="1" s="1"/>
  <c r="A154" i="1" s="1"/>
  <c r="A172" i="1" s="1"/>
  <c r="A22" i="1"/>
  <c r="A39" i="1"/>
  <c r="A61" i="1" s="1"/>
  <c r="A79" i="1" s="1"/>
  <c r="A98" i="1" s="1"/>
  <c r="A116" i="1" s="1"/>
  <c r="A135" i="1" s="1"/>
  <c r="A153" i="1" s="1"/>
  <c r="A171" i="1" s="1"/>
  <c r="A38" i="1"/>
  <c r="A60" i="1" s="1"/>
  <c r="A78" i="1" s="1"/>
  <c r="A97" i="1" s="1"/>
  <c r="A115" i="1" s="1"/>
  <c r="A134" i="1" s="1"/>
  <c r="A152" i="1" s="1"/>
  <c r="A170" i="1" s="1"/>
  <c r="A37" i="1"/>
  <c r="A59" i="1" s="1"/>
  <c r="A77" i="1" s="1"/>
  <c r="A96" i="1" s="1"/>
  <c r="A114" i="1" s="1"/>
  <c r="A133" i="1" s="1"/>
  <c r="A151" i="1" s="1"/>
  <c r="A169" i="1" s="1"/>
  <c r="D97" i="11"/>
  <c r="D22" i="11" s="1"/>
  <c r="A36" i="1"/>
  <c r="A58" i="1" s="1"/>
  <c r="A76" i="1" s="1"/>
  <c r="A95" i="1" s="1"/>
  <c r="A113" i="1" s="1"/>
  <c r="A132" i="1" s="1"/>
  <c r="A150" i="1" s="1"/>
  <c r="A168" i="1" s="1"/>
  <c r="A167" i="1"/>
  <c r="A35" i="1"/>
  <c r="A57" i="1" s="1"/>
  <c r="A75" i="1" s="1"/>
  <c r="A94" i="1" s="1"/>
  <c r="A112" i="1" s="1"/>
  <c r="A131" i="1" s="1"/>
  <c r="A34" i="1"/>
  <c r="A56" i="1" s="1"/>
  <c r="A74" i="1" s="1"/>
  <c r="A93" i="1" s="1"/>
  <c r="A111" i="1" s="1"/>
  <c r="A130" i="1" s="1"/>
  <c r="A148" i="1" s="1"/>
  <c r="A166" i="1" s="1"/>
  <c r="F165" i="1"/>
  <c r="E165" i="1"/>
  <c r="F110" i="1"/>
  <c r="E110" i="1"/>
  <c r="F92" i="1"/>
  <c r="E92" i="1"/>
  <c r="A33" i="1"/>
  <c r="A55" i="1" s="1"/>
  <c r="A73" i="1" s="1"/>
  <c r="A92" i="1" s="1"/>
  <c r="A110" i="1" s="1"/>
  <c r="A129" i="1" s="1"/>
  <c r="A147" i="1" s="1"/>
  <c r="A165" i="1" s="1"/>
  <c r="A32" i="1"/>
  <c r="A54" i="1" s="1"/>
  <c r="A72" i="1" s="1"/>
  <c r="A91" i="1" s="1"/>
  <c r="A109" i="1" s="1"/>
  <c r="A128" i="1" s="1"/>
  <c r="A146" i="1" s="1"/>
  <c r="A164" i="1" s="1"/>
  <c r="A180" i="1" s="1"/>
  <c r="A126" i="1"/>
  <c r="A108" i="1"/>
  <c r="A127" i="1" s="1"/>
  <c r="A145" i="1" s="1"/>
  <c r="A163" i="1" s="1"/>
  <c r="A31" i="1"/>
  <c r="A53" i="1"/>
  <c r="A71" i="1" s="1"/>
  <c r="A30" i="1"/>
  <c r="C50" i="14" l="1"/>
  <c r="C16" i="14" s="1"/>
  <c r="E24" i="1"/>
  <c r="L32" i="14"/>
  <c r="E66" i="14"/>
  <c r="E17" i="14" s="1"/>
  <c r="F17" i="14" s="1"/>
  <c r="F57" i="14"/>
  <c r="F66" i="14" s="1"/>
  <c r="H101" i="1" s="1"/>
  <c r="C168" i="1"/>
  <c r="H50" i="14"/>
  <c r="H16" i="14" s="1"/>
  <c r="C119" i="1"/>
  <c r="C66" i="14"/>
  <c r="C17" i="14" s="1"/>
  <c r="C43" i="14"/>
  <c r="C15" i="14" s="1"/>
  <c r="C138" i="1"/>
  <c r="F81" i="14"/>
  <c r="H138" i="1" s="1"/>
  <c r="I156" i="1"/>
  <c r="I138" i="1"/>
  <c r="F76" i="14"/>
  <c r="H119" i="1" s="1"/>
  <c r="E16" i="14"/>
  <c r="F16" i="14" s="1"/>
  <c r="J81" i="14"/>
  <c r="J19" i="14" s="1"/>
  <c r="I82" i="1"/>
  <c r="J50" i="14"/>
  <c r="J16" i="14" s="1"/>
  <c r="I16" i="14"/>
  <c r="J76" i="14"/>
  <c r="J18" i="14" s="1"/>
  <c r="H88" i="14"/>
  <c r="I88" i="14" s="1"/>
  <c r="J88" i="14" s="1"/>
  <c r="F156" i="1"/>
  <c r="F50" i="14"/>
  <c r="H82" i="1" s="1"/>
  <c r="C101" i="1"/>
  <c r="D17" i="14"/>
  <c r="H89" i="14"/>
  <c r="I89" i="14" s="1"/>
  <c r="H43" i="14"/>
  <c r="H15" i="14" s="1"/>
  <c r="H22" i="14" s="1"/>
  <c r="D98" i="14"/>
  <c r="D21" i="14" s="1"/>
  <c r="I119" i="1"/>
  <c r="C156" i="1"/>
  <c r="D20" i="14"/>
  <c r="C13" i="14"/>
  <c r="C76" i="14"/>
  <c r="C18" i="14" s="1"/>
  <c r="F43" i="14"/>
  <c r="H64" i="1" s="1"/>
  <c r="I64" i="1"/>
  <c r="I24" i="1"/>
  <c r="E156" i="1"/>
  <c r="E138" i="1"/>
  <c r="E119" i="1"/>
  <c r="E82" i="1"/>
  <c r="J43" i="14"/>
  <c r="J15" i="14" s="1"/>
  <c r="E64" i="1"/>
  <c r="J13" i="14"/>
  <c r="F24" i="1" s="1"/>
  <c r="H76" i="14"/>
  <c r="H18" i="14" s="1"/>
  <c r="H66" i="14"/>
  <c r="H17" i="14" s="1"/>
  <c r="C82" i="1"/>
  <c r="C64" i="1"/>
  <c r="H13" i="14"/>
  <c r="F89" i="14"/>
  <c r="I66" i="14"/>
  <c r="J57" i="14"/>
  <c r="E88" i="14"/>
  <c r="F88" i="14" s="1"/>
  <c r="H87" i="14"/>
  <c r="I87" i="14" s="1"/>
  <c r="J87" i="14" s="1"/>
  <c r="E90" i="14"/>
  <c r="F90" i="14" s="1"/>
  <c r="I101" i="1" l="1"/>
  <c r="F13" i="14"/>
  <c r="H24" i="1" s="1"/>
  <c r="L7" i="14"/>
  <c r="F98" i="14"/>
  <c r="H174" i="1" s="1"/>
  <c r="F119" i="1"/>
  <c r="C22" i="14"/>
  <c r="C24" i="14" s="1"/>
  <c r="H24" i="14"/>
  <c r="F82" i="1"/>
  <c r="D22" i="14"/>
  <c r="C42" i="1" s="1"/>
  <c r="J89" i="14"/>
  <c r="J98" i="14" s="1"/>
  <c r="J21" i="14" s="1"/>
  <c r="I98" i="14"/>
  <c r="I21" i="14" s="1"/>
  <c r="H98" i="14"/>
  <c r="H21" i="14" s="1"/>
  <c r="C174" i="1"/>
  <c r="E101" i="1"/>
  <c r="I17" i="14"/>
  <c r="F138" i="1"/>
  <c r="F64" i="1"/>
  <c r="J66" i="14"/>
  <c r="J17" i="14" s="1"/>
  <c r="E98" i="14"/>
  <c r="F79" i="7"/>
  <c r="F80" i="7"/>
  <c r="F81" i="7"/>
  <c r="F78" i="7"/>
  <c r="I22" i="14" l="1"/>
  <c r="I24" i="14" s="1"/>
  <c r="F174" i="1"/>
  <c r="E174" i="1"/>
  <c r="E21" i="14"/>
  <c r="E22" i="14" s="1"/>
  <c r="E24" i="14" s="1"/>
  <c r="I174" i="1"/>
  <c r="J22" i="14"/>
  <c r="J24" i="14" s="1"/>
  <c r="F101" i="1"/>
  <c r="E42" i="1"/>
  <c r="M171" i="1"/>
  <c r="M170" i="1"/>
  <c r="M169" i="1"/>
  <c r="M162" i="1"/>
  <c r="M161" i="1"/>
  <c r="M160" i="1"/>
  <c r="M159" i="1"/>
  <c r="M158" i="1"/>
  <c r="M143" i="1"/>
  <c r="M142" i="1"/>
  <c r="M141" i="1"/>
  <c r="M125" i="1"/>
  <c r="M123" i="1"/>
  <c r="M122" i="1"/>
  <c r="M116" i="1"/>
  <c r="M115" i="1"/>
  <c r="M114" i="1"/>
  <c r="M113" i="1"/>
  <c r="M112" i="1"/>
  <c r="M111" i="1"/>
  <c r="M107" i="1"/>
  <c r="M106" i="1"/>
  <c r="M105" i="1"/>
  <c r="M104" i="1"/>
  <c r="M98" i="1"/>
  <c r="M97" i="1"/>
  <c r="M96" i="1"/>
  <c r="M95" i="1"/>
  <c r="M94" i="1"/>
  <c r="M91" i="1"/>
  <c r="M90" i="1"/>
  <c r="M89" i="1"/>
  <c r="M88" i="1"/>
  <c r="M87" i="1"/>
  <c r="J37" i="15"/>
  <c r="J12" i="15"/>
  <c r="J11" i="15"/>
  <c r="J10" i="15"/>
  <c r="J104" i="15"/>
  <c r="J103" i="15"/>
  <c r="H103" i="15"/>
  <c r="J102" i="15"/>
  <c r="H102" i="15"/>
  <c r="E102" i="15"/>
  <c r="F102" i="15" s="1"/>
  <c r="J101" i="15"/>
  <c r="J100" i="15"/>
  <c r="J99" i="15"/>
  <c r="D97" i="15"/>
  <c r="H97" i="15" s="1"/>
  <c r="I97" i="15" s="1"/>
  <c r="J97" i="15" s="1"/>
  <c r="D96" i="15"/>
  <c r="E96" i="15" s="1"/>
  <c r="D95" i="15"/>
  <c r="H95" i="15" s="1"/>
  <c r="D94" i="15"/>
  <c r="E94" i="15" s="1"/>
  <c r="F94" i="15" s="1"/>
  <c r="H92" i="15"/>
  <c r="H21" i="15" s="1"/>
  <c r="E92" i="15"/>
  <c r="E21" i="15" s="1"/>
  <c r="D92" i="15"/>
  <c r="D21" i="15" s="1"/>
  <c r="I92" i="15"/>
  <c r="I21" i="15" s="1"/>
  <c r="F92" i="15"/>
  <c r="H155" i="1" s="1"/>
  <c r="I88" i="15"/>
  <c r="H88" i="15"/>
  <c r="H20" i="15" s="1"/>
  <c r="E88" i="15"/>
  <c r="E20" i="15" s="1"/>
  <c r="D88" i="15"/>
  <c r="D20" i="15" s="1"/>
  <c r="J87" i="15"/>
  <c r="J85" i="15"/>
  <c r="I82" i="15"/>
  <c r="I19" i="15" s="1"/>
  <c r="D82" i="15"/>
  <c r="D19" i="15" s="1"/>
  <c r="J81" i="15"/>
  <c r="J80" i="15"/>
  <c r="H80" i="15"/>
  <c r="J79" i="15"/>
  <c r="H79" i="15"/>
  <c r="J78" i="15"/>
  <c r="J77" i="15"/>
  <c r="H77" i="15"/>
  <c r="J76" i="15"/>
  <c r="H76" i="15"/>
  <c r="E82" i="15"/>
  <c r="E19" i="15" s="1"/>
  <c r="J75" i="15"/>
  <c r="H75" i="15"/>
  <c r="J74" i="15"/>
  <c r="H74" i="15"/>
  <c r="J70" i="15"/>
  <c r="H70" i="15"/>
  <c r="J69" i="15"/>
  <c r="H69" i="15"/>
  <c r="J68" i="15"/>
  <c r="H68" i="15"/>
  <c r="J65" i="15"/>
  <c r="J64" i="15"/>
  <c r="H64" i="15"/>
  <c r="J63" i="15"/>
  <c r="H63" i="15"/>
  <c r="H62" i="15"/>
  <c r="H61" i="15"/>
  <c r="H60" i="15"/>
  <c r="J59" i="15"/>
  <c r="H59" i="15"/>
  <c r="J58" i="15"/>
  <c r="H58" i="15"/>
  <c r="J57" i="15"/>
  <c r="H57" i="15"/>
  <c r="I54" i="15"/>
  <c r="I17" i="15" s="1"/>
  <c r="E54" i="15"/>
  <c r="E17" i="15" s="1"/>
  <c r="D54" i="15"/>
  <c r="D17" i="15" s="1"/>
  <c r="J53" i="15"/>
  <c r="H53" i="15"/>
  <c r="J52" i="15"/>
  <c r="J51" i="15"/>
  <c r="H51" i="15"/>
  <c r="J50" i="15"/>
  <c r="H50" i="15"/>
  <c r="E47" i="15"/>
  <c r="E16" i="15" s="1"/>
  <c r="D47" i="15"/>
  <c r="D16" i="15" s="1"/>
  <c r="J46" i="15"/>
  <c r="H46" i="15"/>
  <c r="J45" i="15"/>
  <c r="H45" i="15"/>
  <c r="J44" i="15"/>
  <c r="H44" i="15"/>
  <c r="H43" i="15"/>
  <c r="J42" i="15"/>
  <c r="H42" i="15"/>
  <c r="J41" i="15"/>
  <c r="H41" i="15"/>
  <c r="J40" i="15"/>
  <c r="H40" i="15"/>
  <c r="H38" i="15"/>
  <c r="J33" i="15"/>
  <c r="J32" i="15"/>
  <c r="H32" i="15"/>
  <c r="J29" i="15"/>
  <c r="J30" i="15"/>
  <c r="H30" i="15"/>
  <c r="J28" i="15"/>
  <c r="J27" i="15"/>
  <c r="J13" i="15"/>
  <c r="H13" i="15"/>
  <c r="J9" i="15"/>
  <c r="H9" i="15"/>
  <c r="J7" i="15"/>
  <c r="H7" i="15"/>
  <c r="J6" i="15"/>
  <c r="H6" i="15"/>
  <c r="J5" i="15"/>
  <c r="F21" i="14" l="1"/>
  <c r="F22" i="14" s="1"/>
  <c r="H42" i="1" s="1"/>
  <c r="E137" i="1"/>
  <c r="I20" i="15"/>
  <c r="F42" i="1"/>
  <c r="I42" i="1"/>
  <c r="F24" i="14"/>
  <c r="F61" i="15"/>
  <c r="F71" i="15" s="1"/>
  <c r="H100" i="1" s="1"/>
  <c r="J43" i="15"/>
  <c r="J61" i="15"/>
  <c r="J62" i="15"/>
  <c r="C81" i="1"/>
  <c r="C137" i="1"/>
  <c r="E81" i="1"/>
  <c r="E71" i="15"/>
  <c r="E18" i="15" s="1"/>
  <c r="C155" i="1"/>
  <c r="F21" i="15"/>
  <c r="I155" i="1"/>
  <c r="F20" i="15"/>
  <c r="I137" i="1"/>
  <c r="F19" i="15"/>
  <c r="I118" i="1"/>
  <c r="E14" i="15"/>
  <c r="F14" i="15"/>
  <c r="E118" i="1"/>
  <c r="F17" i="15"/>
  <c r="I81" i="1"/>
  <c r="C100" i="1"/>
  <c r="C118" i="1"/>
  <c r="F16" i="15"/>
  <c r="I63" i="1"/>
  <c r="C63" i="1"/>
  <c r="E155" i="1"/>
  <c r="F88" i="15"/>
  <c r="H137" i="1" s="1"/>
  <c r="H82" i="15"/>
  <c r="H19" i="15" s="1"/>
  <c r="F82" i="15"/>
  <c r="H118" i="1" s="1"/>
  <c r="J88" i="15"/>
  <c r="J20" i="15" s="1"/>
  <c r="H54" i="15"/>
  <c r="H17" i="15" s="1"/>
  <c r="J82" i="15"/>
  <c r="J19" i="15" s="1"/>
  <c r="H14" i="15"/>
  <c r="H71" i="15"/>
  <c r="H18" i="15" s="1"/>
  <c r="F47" i="15"/>
  <c r="H63" i="1" s="1"/>
  <c r="H47" i="15"/>
  <c r="H16" i="15" s="1"/>
  <c r="F54" i="15"/>
  <c r="H81" i="1" s="1"/>
  <c r="H96" i="15"/>
  <c r="I96" i="15" s="1"/>
  <c r="J60" i="15"/>
  <c r="I71" i="15"/>
  <c r="J38" i="15"/>
  <c r="I47" i="15"/>
  <c r="I16" i="15" s="1"/>
  <c r="J14" i="15"/>
  <c r="F96" i="15"/>
  <c r="J91" i="15"/>
  <c r="J92" i="15" s="1"/>
  <c r="J21" i="15" s="1"/>
  <c r="E95" i="15"/>
  <c r="F95" i="15" s="1"/>
  <c r="D105" i="15"/>
  <c r="I95" i="15"/>
  <c r="J95" i="15" s="1"/>
  <c r="J54" i="15"/>
  <c r="J17" i="15" s="1"/>
  <c r="H94" i="15"/>
  <c r="I94" i="15" s="1"/>
  <c r="J94" i="15" s="1"/>
  <c r="E97" i="15"/>
  <c r="F97" i="15" s="1"/>
  <c r="D22" i="15" l="1"/>
  <c r="E100" i="1"/>
  <c r="I18" i="15"/>
  <c r="I23" i="1"/>
  <c r="F23" i="1"/>
  <c r="H23" i="1"/>
  <c r="J47" i="15"/>
  <c r="C173" i="1"/>
  <c r="F137" i="1"/>
  <c r="F18" i="15"/>
  <c r="I100" i="1"/>
  <c r="H105" i="15"/>
  <c r="H22" i="15" s="1"/>
  <c r="H23" i="15" s="1"/>
  <c r="H25" i="15" s="1"/>
  <c r="E63" i="1"/>
  <c r="F81" i="1"/>
  <c r="F118" i="1"/>
  <c r="F155" i="1"/>
  <c r="D23" i="15"/>
  <c r="F105" i="15"/>
  <c r="H173" i="1" s="1"/>
  <c r="E105" i="15"/>
  <c r="I105" i="15"/>
  <c r="J96" i="15"/>
  <c r="J105" i="15" s="1"/>
  <c r="J22" i="15" s="1"/>
  <c r="J71" i="15"/>
  <c r="J18" i="15" s="1"/>
  <c r="I22" i="15" l="1"/>
  <c r="F63" i="1"/>
  <c r="J16" i="15"/>
  <c r="C41" i="1"/>
  <c r="I23" i="15"/>
  <c r="I25" i="15" s="1"/>
  <c r="E173" i="1"/>
  <c r="E22" i="15"/>
  <c r="I173" i="1"/>
  <c r="F173" i="1"/>
  <c r="F100" i="1"/>
  <c r="E23" i="15" l="1"/>
  <c r="E25" i="15" s="1"/>
  <c r="F22" i="15"/>
  <c r="F23" i="15" s="1"/>
  <c r="F25" i="15" s="1"/>
  <c r="J23" i="15"/>
  <c r="J25" i="15" s="1"/>
  <c r="E41" i="1"/>
  <c r="C57" i="13"/>
  <c r="H57" i="13"/>
  <c r="J57" i="13"/>
  <c r="I41" i="1" l="1"/>
  <c r="F41" i="1"/>
  <c r="H41" i="1"/>
  <c r="C68" i="7"/>
  <c r="J68" i="7"/>
  <c r="C58" i="7"/>
  <c r="J58" i="7"/>
  <c r="F4" i="7" l="1"/>
  <c r="F4" i="12" s="1"/>
  <c r="I1" i="7"/>
  <c r="I1" i="12" s="1"/>
  <c r="E4" i="7"/>
  <c r="E4" i="12" s="1"/>
  <c r="D4" i="7"/>
  <c r="D4" i="12" s="1"/>
  <c r="F4" i="3" l="1"/>
  <c r="F4" i="6"/>
  <c r="F4" i="10" s="1"/>
  <c r="F4" i="11" s="1"/>
  <c r="F4" i="5" s="1"/>
  <c r="F4" i="13" s="1"/>
  <c r="F4" i="9" s="1"/>
  <c r="F4" i="14" s="1"/>
  <c r="I1" i="6"/>
  <c r="I1" i="10" s="1"/>
  <c r="I1" i="11" s="1"/>
  <c r="I1" i="5" s="1"/>
  <c r="I1" i="13" s="1"/>
  <c r="I1" i="9" s="1"/>
  <c r="I1" i="14" s="1"/>
  <c r="I1" i="3"/>
  <c r="D4" i="6"/>
  <c r="D4" i="10" s="1"/>
  <c r="D4" i="11" s="1"/>
  <c r="D4" i="5" s="1"/>
  <c r="D4" i="13" s="1"/>
  <c r="D4" i="9" s="1"/>
  <c r="D4" i="14" s="1"/>
  <c r="D13" i="14" s="1"/>
  <c r="D24" i="14" s="1"/>
  <c r="D4" i="3"/>
  <c r="E4" i="6"/>
  <c r="E4" i="10" s="1"/>
  <c r="E4" i="11" s="1"/>
  <c r="E4" i="5" s="1"/>
  <c r="E4" i="13" s="1"/>
  <c r="E4" i="9" s="1"/>
  <c r="E4" i="14" s="1"/>
  <c r="E4" i="3"/>
  <c r="J10" i="8"/>
  <c r="J9" i="8"/>
  <c r="J8" i="8"/>
  <c r="J7" i="8"/>
  <c r="J6" i="8"/>
  <c r="J5" i="8"/>
  <c r="C24" i="1" l="1"/>
  <c r="F4" i="15"/>
  <c r="F4" i="4"/>
  <c r="F4" i="2" s="1"/>
  <c r="I1" i="15"/>
  <c r="I1" i="4"/>
  <c r="I1" i="2" s="1"/>
  <c r="D4" i="15"/>
  <c r="D14" i="15" s="1"/>
  <c r="D25" i="15" s="1"/>
  <c r="D4" i="4"/>
  <c r="D4" i="2" s="1"/>
  <c r="E4" i="15"/>
  <c r="E4" i="4"/>
  <c r="E4" i="2" s="1"/>
  <c r="C23" i="1" l="1"/>
  <c r="E44" i="11"/>
  <c r="J28" i="11"/>
  <c r="C28" i="11"/>
  <c r="I58" i="1" l="1"/>
  <c r="E16" i="11"/>
  <c r="F88" i="9"/>
  <c r="H153" i="1" s="1"/>
  <c r="E88" i="9"/>
  <c r="D88" i="9"/>
  <c r="J86" i="9"/>
  <c r="E83" i="9"/>
  <c r="D83" i="9"/>
  <c r="C5" i="7"/>
  <c r="C153" i="1" l="1"/>
  <c r="D22" i="9"/>
  <c r="E21" i="9"/>
  <c r="F21" i="9" s="1"/>
  <c r="I135" i="1"/>
  <c r="I153" i="1"/>
  <c r="E22" i="9"/>
  <c r="C135" i="1"/>
  <c r="D21" i="9"/>
  <c r="J14" i="12"/>
  <c r="J13" i="12"/>
  <c r="J12" i="12"/>
  <c r="J11" i="12"/>
  <c r="J10" i="12"/>
  <c r="J9" i="12"/>
  <c r="J8" i="12"/>
  <c r="J5" i="12"/>
  <c r="I15" i="12"/>
  <c r="E15" i="1" l="1"/>
  <c r="J7" i="12"/>
  <c r="J15" i="12" s="1"/>
  <c r="J21" i="2"/>
  <c r="F15" i="1" l="1"/>
  <c r="F64" i="2"/>
  <c r="H83" i="1" s="1"/>
  <c r="F89" i="4"/>
  <c r="H154" i="1" s="1"/>
  <c r="E13" i="4"/>
  <c r="F83" i="9"/>
  <c r="H135" i="1" s="1"/>
  <c r="F91" i="13"/>
  <c r="H152" i="1" s="1"/>
  <c r="F54" i="13"/>
  <c r="H78" i="1" s="1"/>
  <c r="F90" i="5"/>
  <c r="H151" i="1" s="1"/>
  <c r="F86" i="5"/>
  <c r="H133" i="1" s="1"/>
  <c r="J74" i="11"/>
  <c r="F87" i="11"/>
  <c r="H150" i="1" s="1"/>
  <c r="F85" i="10"/>
  <c r="H149" i="1" s="1"/>
  <c r="F81" i="10"/>
  <c r="H131" i="1" s="1"/>
  <c r="F49" i="10"/>
  <c r="H75" i="1" s="1"/>
  <c r="E18" i="6"/>
  <c r="F87" i="6"/>
  <c r="H130" i="1" s="1"/>
  <c r="F91" i="6"/>
  <c r="H148" i="1" s="1"/>
  <c r="F49" i="3"/>
  <c r="H109" i="1" s="1"/>
  <c r="H180" i="1"/>
  <c r="H182" i="1" s="1"/>
  <c r="F41" i="3"/>
  <c r="H54" i="1" s="1"/>
  <c r="F68" i="12"/>
  <c r="H165" i="1" s="1"/>
  <c r="F74" i="7"/>
  <c r="H145" i="1" s="1"/>
  <c r="F70" i="7"/>
  <c r="H127" i="1" s="1"/>
  <c r="G69" i="8"/>
  <c r="H144" i="1" s="1"/>
  <c r="H159" i="1" s="1"/>
  <c r="G79" i="8"/>
  <c r="G78" i="8"/>
  <c r="G80" i="8" s="1"/>
  <c r="H162" i="1" s="1"/>
  <c r="G74" i="8"/>
  <c r="J23" i="2"/>
  <c r="I16" i="1" l="1"/>
  <c r="I22" i="1"/>
  <c r="F78" i="2"/>
  <c r="H102" i="1" s="1"/>
  <c r="F57" i="2"/>
  <c r="H65" i="1" s="1"/>
  <c r="F27" i="2"/>
  <c r="F80" i="4"/>
  <c r="H117" i="1" s="1"/>
  <c r="F85" i="4"/>
  <c r="H136" i="1" s="1"/>
  <c r="F50" i="4"/>
  <c r="H80" i="1" s="1"/>
  <c r="F13" i="4"/>
  <c r="F43" i="4"/>
  <c r="H62" i="1" s="1"/>
  <c r="F87" i="13"/>
  <c r="H134" i="1" s="1"/>
  <c r="F81" i="13"/>
  <c r="H115" i="1" s="1"/>
  <c r="F70" i="13"/>
  <c r="H97" i="1" s="1"/>
  <c r="F15" i="13"/>
  <c r="F47" i="13"/>
  <c r="H60" i="1" s="1"/>
  <c r="F44" i="11"/>
  <c r="H58" i="1" s="1"/>
  <c r="F51" i="11"/>
  <c r="H76" i="1" s="1"/>
  <c r="F82" i="11"/>
  <c r="H132" i="1" s="1"/>
  <c r="F69" i="5"/>
  <c r="H96" i="1" s="1"/>
  <c r="F46" i="5"/>
  <c r="H59" i="1" s="1"/>
  <c r="F53" i="5"/>
  <c r="H77" i="1" s="1"/>
  <c r="F77" i="11"/>
  <c r="H113" i="1" s="1"/>
  <c r="F67" i="11"/>
  <c r="H95" i="1" s="1"/>
  <c r="F76" i="10"/>
  <c r="H112" i="1" s="1"/>
  <c r="F66" i="10"/>
  <c r="H94" i="1" s="1"/>
  <c r="F42" i="10"/>
  <c r="H57" i="1" s="1"/>
  <c r="F14" i="10"/>
  <c r="F72" i="6"/>
  <c r="H93" i="1" s="1"/>
  <c r="F54" i="6"/>
  <c r="H74" i="1" s="1"/>
  <c r="F47" i="6"/>
  <c r="H56" i="1" s="1"/>
  <c r="F18" i="6"/>
  <c r="F35" i="7"/>
  <c r="H53" i="1" s="1"/>
  <c r="F65" i="7"/>
  <c r="H108" i="1" s="1"/>
  <c r="F55" i="7"/>
  <c r="H90" i="1" s="1"/>
  <c r="F42" i="7"/>
  <c r="H71" i="1" s="1"/>
  <c r="G55" i="8"/>
  <c r="H89" i="1" s="1"/>
  <c r="G41" i="8"/>
  <c r="H70" i="1" s="1"/>
  <c r="G11" i="8"/>
  <c r="G34" i="8"/>
  <c r="H52" i="1" s="1"/>
  <c r="F14" i="11"/>
  <c r="F82" i="6"/>
  <c r="H111" i="1" s="1"/>
  <c r="H171" i="1"/>
  <c r="F79" i="9"/>
  <c r="H116" i="1" s="1"/>
  <c r="F15" i="9"/>
  <c r="F42" i="9"/>
  <c r="H61" i="1" s="1"/>
  <c r="F49" i="9"/>
  <c r="H79" i="1" s="1"/>
  <c r="F81" i="5"/>
  <c r="H114" i="1" s="1"/>
  <c r="H16" i="1" l="1"/>
  <c r="H20" i="1"/>
  <c r="H141" i="1"/>
  <c r="H18" i="1"/>
  <c r="H17" i="1"/>
  <c r="H21" i="1"/>
  <c r="H22" i="1"/>
  <c r="H25" i="1"/>
  <c r="H12" i="1"/>
  <c r="H85" i="1"/>
  <c r="H18" i="7"/>
  <c r="H19" i="7"/>
  <c r="H27" i="7"/>
  <c r="F26" i="8"/>
  <c r="F69" i="8"/>
  <c r="F73" i="8"/>
  <c r="J78" i="8"/>
  <c r="J79" i="8"/>
  <c r="J30" i="11"/>
  <c r="J85" i="13"/>
  <c r="J20" i="2" l="1"/>
  <c r="J25" i="2" l="1"/>
  <c r="J29" i="7"/>
  <c r="J64" i="6"/>
  <c r="J63" i="6"/>
  <c r="J79" i="13"/>
  <c r="J30" i="13"/>
  <c r="H30" i="13"/>
  <c r="C30" i="13"/>
  <c r="J37" i="9"/>
  <c r="H37" i="9"/>
  <c r="C37" i="9"/>
  <c r="J36" i="9"/>
  <c r="H36" i="9"/>
  <c r="C36" i="9"/>
  <c r="H33" i="9"/>
  <c r="J33" i="9" s="1"/>
  <c r="C33" i="9"/>
  <c r="J29" i="9"/>
  <c r="H29" i="9"/>
  <c r="C29" i="9"/>
  <c r="J76" i="4"/>
  <c r="H76" i="4"/>
  <c r="C76" i="4"/>
  <c r="E43" i="4"/>
  <c r="D43" i="4"/>
  <c r="J26" i="4"/>
  <c r="C26" i="4"/>
  <c r="C61" i="13"/>
  <c r="J61" i="13"/>
  <c r="H70" i="11"/>
  <c r="H72" i="5"/>
  <c r="H73" i="5"/>
  <c r="H31" i="5"/>
  <c r="H32" i="5"/>
  <c r="H33" i="5"/>
  <c r="H34" i="5"/>
  <c r="H38" i="5"/>
  <c r="H39" i="5"/>
  <c r="D46" i="5"/>
  <c r="C29" i="5"/>
  <c r="D44" i="11"/>
  <c r="J27" i="11"/>
  <c r="H27" i="11"/>
  <c r="C27" i="11"/>
  <c r="H31" i="6"/>
  <c r="H76" i="6"/>
  <c r="H58" i="6"/>
  <c r="H71" i="6"/>
  <c r="H65" i="6"/>
  <c r="H51" i="6"/>
  <c r="D18" i="6"/>
  <c r="J57" i="3"/>
  <c r="G34" i="3"/>
  <c r="F37" i="8"/>
  <c r="F38" i="8"/>
  <c r="F39" i="8"/>
  <c r="F40" i="8"/>
  <c r="G65" i="8"/>
  <c r="H107" i="1" s="1"/>
  <c r="F10" i="8"/>
  <c r="F9" i="8"/>
  <c r="C62" i="1" l="1"/>
  <c r="D15" i="4"/>
  <c r="C59" i="1"/>
  <c r="D18" i="5"/>
  <c r="I62" i="1"/>
  <c r="E15" i="4"/>
  <c r="C58" i="1"/>
  <c r="D16" i="11"/>
  <c r="C16" i="1"/>
  <c r="F11" i="12"/>
  <c r="F13" i="12"/>
  <c r="H21" i="12"/>
  <c r="H23" i="12" s="1"/>
  <c r="C79" i="5"/>
  <c r="J26" i="12"/>
  <c r="J27" i="12"/>
  <c r="J29" i="12"/>
  <c r="J30" i="12"/>
  <c r="J31" i="12"/>
  <c r="J32" i="12"/>
  <c r="J34" i="12"/>
  <c r="J35" i="12"/>
  <c r="J36" i="12"/>
  <c r="J37" i="12"/>
  <c r="J38" i="12"/>
  <c r="J25" i="12"/>
  <c r="I39" i="12"/>
  <c r="I17" i="12" s="1"/>
  <c r="E31" i="12"/>
  <c r="F31" i="12" s="1"/>
  <c r="L31" i="12" s="1"/>
  <c r="C40" i="7"/>
  <c r="C38" i="7"/>
  <c r="C80" i="11"/>
  <c r="C78" i="4"/>
  <c r="G18" i="3"/>
  <c r="G17" i="3"/>
  <c r="D18" i="3"/>
  <c r="I21" i="12" l="1"/>
  <c r="I23" i="12" s="1"/>
  <c r="E55" i="1"/>
  <c r="J39" i="12"/>
  <c r="J17" i="12" s="1"/>
  <c r="F15" i="12"/>
  <c r="J93" i="2"/>
  <c r="D97" i="2"/>
  <c r="J92" i="2"/>
  <c r="C175" i="1" l="1"/>
  <c r="D33" i="2"/>
  <c r="J21" i="12"/>
  <c r="J23" i="12" s="1"/>
  <c r="F55" i="1"/>
  <c r="E33" i="1"/>
  <c r="H15" i="1"/>
  <c r="I97" i="13"/>
  <c r="F33" i="1" l="1"/>
  <c r="C46" i="2"/>
  <c r="C97" i="2"/>
  <c r="C81" i="2"/>
  <c r="C83" i="2"/>
  <c r="C39" i="2"/>
  <c r="H95" i="2"/>
  <c r="I95" i="2" s="1"/>
  <c r="J95" i="2" s="1"/>
  <c r="H94" i="2"/>
  <c r="J7" i="2"/>
  <c r="I94" i="2" l="1"/>
  <c r="H97" i="2"/>
  <c r="J96" i="2"/>
  <c r="E95" i="2"/>
  <c r="F95" i="2" s="1"/>
  <c r="E94" i="2"/>
  <c r="F94" i="2" s="1"/>
  <c r="J88" i="2"/>
  <c r="J87" i="2"/>
  <c r="C84" i="2"/>
  <c r="H83" i="2"/>
  <c r="C82" i="2"/>
  <c r="C77" i="2"/>
  <c r="C76" i="2"/>
  <c r="C73" i="2"/>
  <c r="C72" i="2"/>
  <c r="C71" i="2"/>
  <c r="C70" i="2"/>
  <c r="C68" i="2"/>
  <c r="C62" i="2"/>
  <c r="C61" i="2"/>
  <c r="C56" i="2"/>
  <c r="C55" i="2"/>
  <c r="C54" i="2"/>
  <c r="C53" i="2"/>
  <c r="H53" i="2" s="1"/>
  <c r="J53" i="2" s="1"/>
  <c r="C52" i="2"/>
  <c r="C51" i="2"/>
  <c r="C50" i="2"/>
  <c r="C49" i="2"/>
  <c r="C48" i="2"/>
  <c r="C47" i="2"/>
  <c r="H47" i="2" s="1"/>
  <c r="J47" i="2" s="1"/>
  <c r="C45" i="2"/>
  <c r="C44" i="2"/>
  <c r="C43" i="2"/>
  <c r="H43" i="2" s="1"/>
  <c r="J43" i="2" s="1"/>
  <c r="C42" i="2"/>
  <c r="C41" i="2"/>
  <c r="H38" i="2"/>
  <c r="C26" i="2"/>
  <c r="C27" i="2" s="1"/>
  <c r="J6" i="2"/>
  <c r="J22" i="2"/>
  <c r="F97" i="2" l="1"/>
  <c r="H175" i="1" s="1"/>
  <c r="C64" i="2"/>
  <c r="C30" i="2" s="1"/>
  <c r="J94" i="2"/>
  <c r="J97" i="2" s="1"/>
  <c r="I97" i="2"/>
  <c r="E97" i="2"/>
  <c r="J5" i="2"/>
  <c r="C89" i="2"/>
  <c r="C33" i="2" s="1"/>
  <c r="H67" i="2"/>
  <c r="C78" i="2"/>
  <c r="C31" i="2" s="1"/>
  <c r="H72" i="2"/>
  <c r="J72" i="2" s="1"/>
  <c r="H84" i="2"/>
  <c r="H44" i="2"/>
  <c r="J44" i="2" s="1"/>
  <c r="H55" i="2"/>
  <c r="J55" i="2" s="1"/>
  <c r="H45" i="2"/>
  <c r="J45" i="2" s="1"/>
  <c r="H56" i="2"/>
  <c r="J56" i="2" s="1"/>
  <c r="D57" i="2"/>
  <c r="D29" i="2" s="1"/>
  <c r="H39" i="2"/>
  <c r="J39" i="2" s="1"/>
  <c r="H46" i="2"/>
  <c r="J46" i="2" s="1"/>
  <c r="H50" i="2"/>
  <c r="J50" i="2" s="1"/>
  <c r="H51" i="2"/>
  <c r="J51" i="2" s="1"/>
  <c r="H70" i="2"/>
  <c r="J70" i="2" s="1"/>
  <c r="H81" i="2"/>
  <c r="D89" i="2"/>
  <c r="D32" i="2" s="1"/>
  <c r="H54" i="2"/>
  <c r="J54" i="2" s="1"/>
  <c r="H41" i="2"/>
  <c r="J41" i="2" s="1"/>
  <c r="H52" i="2"/>
  <c r="J52" i="2" s="1"/>
  <c r="H82" i="2"/>
  <c r="J82" i="2" s="1"/>
  <c r="H49" i="2"/>
  <c r="J49" i="2" s="1"/>
  <c r="H73" i="2"/>
  <c r="J73" i="2" s="1"/>
  <c r="H76" i="2"/>
  <c r="J76" i="2" s="1"/>
  <c r="H42" i="2"/>
  <c r="J42" i="2" s="1"/>
  <c r="H48" i="2"/>
  <c r="J48" i="2" s="1"/>
  <c r="H62" i="2"/>
  <c r="J62" i="2" s="1"/>
  <c r="H61" i="2"/>
  <c r="J61" i="2" s="1"/>
  <c r="H77" i="2"/>
  <c r="J77" i="2" s="1"/>
  <c r="C57" i="2"/>
  <c r="C29" i="2" s="1"/>
  <c r="H60" i="2"/>
  <c r="D64" i="2"/>
  <c r="D30" i="2" s="1"/>
  <c r="J83" i="2"/>
  <c r="H40" i="2"/>
  <c r="J40" i="2" s="1"/>
  <c r="H63" i="2"/>
  <c r="J63" i="2" s="1"/>
  <c r="H71" i="2"/>
  <c r="J71" i="2" s="1"/>
  <c r="C44" i="3"/>
  <c r="C43" i="3"/>
  <c r="C28" i="4"/>
  <c r="C27" i="4"/>
  <c r="C73" i="4"/>
  <c r="C71" i="4"/>
  <c r="C72" i="4"/>
  <c r="C40" i="9"/>
  <c r="C45" i="9"/>
  <c r="C46" i="9"/>
  <c r="C70" i="9"/>
  <c r="C72" i="9"/>
  <c r="C69" i="9"/>
  <c r="C74" i="9"/>
  <c r="C32" i="9"/>
  <c r="C75" i="13"/>
  <c r="C74" i="13"/>
  <c r="C73" i="13"/>
  <c r="C34" i="13"/>
  <c r="C74" i="5"/>
  <c r="C73" i="5"/>
  <c r="C72" i="5"/>
  <c r="C35" i="5"/>
  <c r="C77" i="6"/>
  <c r="C6" i="8"/>
  <c r="C60" i="8"/>
  <c r="C72" i="11"/>
  <c r="C71" i="10"/>
  <c r="C8" i="10"/>
  <c r="C70" i="10"/>
  <c r="C69" i="10"/>
  <c r="C48" i="10"/>
  <c r="C33" i="10"/>
  <c r="C71" i="11"/>
  <c r="C70" i="11"/>
  <c r="C34" i="11"/>
  <c r="C47" i="7"/>
  <c r="C45" i="7"/>
  <c r="H70" i="7"/>
  <c r="D70" i="7"/>
  <c r="D18" i="7" s="1"/>
  <c r="C18" i="7"/>
  <c r="C59" i="7"/>
  <c r="C56" i="12"/>
  <c r="C58" i="12"/>
  <c r="C57" i="12"/>
  <c r="C54" i="12"/>
  <c r="C53" i="12"/>
  <c r="C52" i="12"/>
  <c r="C58" i="8"/>
  <c r="C27" i="8"/>
  <c r="C37" i="8"/>
  <c r="C39" i="8"/>
  <c r="C14" i="6"/>
  <c r="C76" i="6"/>
  <c r="C50" i="6"/>
  <c r="C52" i="6"/>
  <c r="C11" i="6"/>
  <c r="C37" i="6"/>
  <c r="I58" i="3"/>
  <c r="G58" i="3"/>
  <c r="G19" i="3" s="1"/>
  <c r="C58" i="3"/>
  <c r="C19" i="3" s="1"/>
  <c r="H164" i="1"/>
  <c r="J56" i="3"/>
  <c r="J58" i="3" s="1"/>
  <c r="G53" i="3"/>
  <c r="D53" i="3"/>
  <c r="C180" i="1" s="1"/>
  <c r="C182" i="1" s="1"/>
  <c r="C53" i="3"/>
  <c r="C17" i="3" s="1"/>
  <c r="I52" i="3"/>
  <c r="E52" i="3"/>
  <c r="E18" i="3" s="1"/>
  <c r="F18" i="3" s="1"/>
  <c r="C47" i="3"/>
  <c r="C46" i="3"/>
  <c r="C40" i="3"/>
  <c r="J39" i="3"/>
  <c r="C39" i="3"/>
  <c r="C38" i="3"/>
  <c r="C37" i="3"/>
  <c r="C36" i="3"/>
  <c r="G35" i="3"/>
  <c r="J35" i="3" s="1"/>
  <c r="C35" i="3"/>
  <c r="J34" i="3"/>
  <c r="C33" i="3"/>
  <c r="C32" i="3"/>
  <c r="C31" i="3"/>
  <c r="C30" i="3"/>
  <c r="C29" i="3"/>
  <c r="C28" i="3"/>
  <c r="C27" i="3"/>
  <c r="C26" i="3"/>
  <c r="C25" i="3"/>
  <c r="C24" i="3"/>
  <c r="C12" i="3"/>
  <c r="G11" i="3"/>
  <c r="J11" i="3" s="1"/>
  <c r="G9" i="3"/>
  <c r="E9" i="3"/>
  <c r="F9" i="3" s="1"/>
  <c r="J7" i="3"/>
  <c r="J6" i="3"/>
  <c r="I175" i="1" l="1"/>
  <c r="E33" i="2"/>
  <c r="J19" i="3"/>
  <c r="F164" i="1"/>
  <c r="I19" i="3"/>
  <c r="E164" i="1"/>
  <c r="E175" i="1"/>
  <c r="I33" i="2"/>
  <c r="F175" i="1"/>
  <c r="J33" i="2"/>
  <c r="C127" i="1"/>
  <c r="C164" i="1"/>
  <c r="E12" i="3"/>
  <c r="I14" i="1" s="1"/>
  <c r="F12" i="3"/>
  <c r="H14" i="1" s="1"/>
  <c r="C120" i="1"/>
  <c r="F89" i="2"/>
  <c r="H120" i="1" s="1"/>
  <c r="C83" i="1"/>
  <c r="C65" i="1"/>
  <c r="D12" i="3"/>
  <c r="I53" i="3"/>
  <c r="E180" i="1" s="1"/>
  <c r="E182" i="1" s="1"/>
  <c r="J52" i="3"/>
  <c r="J18" i="3" s="1"/>
  <c r="I18" i="3"/>
  <c r="E53" i="3"/>
  <c r="I180" i="1" s="1"/>
  <c r="I182" i="1" s="1"/>
  <c r="F17" i="3"/>
  <c r="J9" i="3"/>
  <c r="C32" i="2"/>
  <c r="C34" i="2" s="1"/>
  <c r="C36" i="2" s="1"/>
  <c r="E89" i="2"/>
  <c r="E32" i="2" s="1"/>
  <c r="H89" i="2"/>
  <c r="H32" i="2" s="1"/>
  <c r="E57" i="2"/>
  <c r="E29" i="2" s="1"/>
  <c r="H57" i="2"/>
  <c r="H29" i="2" s="1"/>
  <c r="E64" i="2"/>
  <c r="E30" i="2" s="1"/>
  <c r="J84" i="2"/>
  <c r="H68" i="2"/>
  <c r="H78" i="2" s="1"/>
  <c r="H31" i="2" s="1"/>
  <c r="E78" i="2"/>
  <c r="E31" i="2" s="1"/>
  <c r="H64" i="2"/>
  <c r="H30" i="2" s="1"/>
  <c r="D78" i="2"/>
  <c r="D31" i="2" s="1"/>
  <c r="J67" i="2"/>
  <c r="H27" i="2"/>
  <c r="J38" i="2"/>
  <c r="J57" i="2" s="1"/>
  <c r="J29" i="2" s="1"/>
  <c r="I57" i="2"/>
  <c r="I29" i="2" s="1"/>
  <c r="J44" i="3"/>
  <c r="C49" i="3"/>
  <c r="C16" i="3" s="1"/>
  <c r="G32" i="3"/>
  <c r="J32" i="3" s="1"/>
  <c r="J37" i="3"/>
  <c r="G27" i="3"/>
  <c r="J27" i="3" s="1"/>
  <c r="J28" i="3"/>
  <c r="G29" i="3"/>
  <c r="J29" i="3" s="1"/>
  <c r="J40" i="3"/>
  <c r="D41" i="3"/>
  <c r="D15" i="3" s="1"/>
  <c r="G24" i="3"/>
  <c r="G25" i="3"/>
  <c r="J25" i="3" s="1"/>
  <c r="G31" i="3"/>
  <c r="J31" i="3" s="1"/>
  <c r="G36" i="3"/>
  <c r="J36" i="3" s="1"/>
  <c r="G46" i="3"/>
  <c r="G33" i="3"/>
  <c r="J33" i="3" s="1"/>
  <c r="J38" i="3"/>
  <c r="C41" i="3"/>
  <c r="C15" i="3" s="1"/>
  <c r="J51" i="3"/>
  <c r="J17" i="3" s="1"/>
  <c r="G10" i="3"/>
  <c r="G26" i="3"/>
  <c r="J26" i="3" s="1"/>
  <c r="G30" i="3"/>
  <c r="J30" i="3" s="1"/>
  <c r="G5" i="3"/>
  <c r="C14" i="1" l="1"/>
  <c r="F19" i="3"/>
  <c r="I164" i="1"/>
  <c r="C54" i="1"/>
  <c r="E65" i="1"/>
  <c r="F32" i="2"/>
  <c r="I120" i="1"/>
  <c r="F31" i="2"/>
  <c r="I102" i="1"/>
  <c r="D34" i="2"/>
  <c r="C102" i="1"/>
  <c r="F30" i="2"/>
  <c r="I83" i="1"/>
  <c r="F65" i="1"/>
  <c r="F29" i="2"/>
  <c r="I65" i="1"/>
  <c r="J53" i="3"/>
  <c r="F180" i="1" s="1"/>
  <c r="F182" i="1" s="1"/>
  <c r="J10" i="3"/>
  <c r="I12" i="3"/>
  <c r="G12" i="3"/>
  <c r="H33" i="2"/>
  <c r="H34" i="2" s="1"/>
  <c r="H36" i="2" s="1"/>
  <c r="F33" i="2"/>
  <c r="I89" i="2"/>
  <c r="J81" i="2"/>
  <c r="J89" i="2" s="1"/>
  <c r="J32" i="2" s="1"/>
  <c r="J60" i="2"/>
  <c r="I64" i="2"/>
  <c r="C20" i="3"/>
  <c r="C22" i="3" s="1"/>
  <c r="J43" i="3"/>
  <c r="G47" i="3"/>
  <c r="E49" i="3"/>
  <c r="E16" i="3" s="1"/>
  <c r="D49" i="3"/>
  <c r="D16" i="3" s="1"/>
  <c r="E41" i="3"/>
  <c r="E15" i="3" s="1"/>
  <c r="J5" i="3"/>
  <c r="G41" i="3"/>
  <c r="G15" i="3" s="1"/>
  <c r="I41" i="3"/>
  <c r="J24" i="3"/>
  <c r="J41" i="3" s="1"/>
  <c r="J15" i="3" s="1"/>
  <c r="E83" i="1" l="1"/>
  <c r="I30" i="2"/>
  <c r="I15" i="3"/>
  <c r="E54" i="1"/>
  <c r="E14" i="1"/>
  <c r="E120" i="1"/>
  <c r="I32" i="2"/>
  <c r="C43" i="1"/>
  <c r="F16" i="3"/>
  <c r="I109" i="1"/>
  <c r="D20" i="3"/>
  <c r="D22" i="3" s="1"/>
  <c r="C109" i="1"/>
  <c r="F54" i="1"/>
  <c r="E20" i="3"/>
  <c r="E22" i="3" s="1"/>
  <c r="I54" i="1"/>
  <c r="F120" i="1"/>
  <c r="E34" i="2"/>
  <c r="F34" i="2"/>
  <c r="F36" i="2" s="1"/>
  <c r="J12" i="3"/>
  <c r="J64" i="2"/>
  <c r="J30" i="2" s="1"/>
  <c r="J26" i="2"/>
  <c r="J68" i="2"/>
  <c r="I78" i="2"/>
  <c r="G49" i="3"/>
  <c r="G16" i="3" s="1"/>
  <c r="G20" i="3" s="1"/>
  <c r="G22" i="3" s="1"/>
  <c r="J49" i="3"/>
  <c r="J16" i="3" s="1"/>
  <c r="I49" i="3"/>
  <c r="I16" i="3" s="1"/>
  <c r="E102" i="1" l="1"/>
  <c r="I31" i="2"/>
  <c r="I34" i="2" s="1"/>
  <c r="F14" i="1"/>
  <c r="I43" i="1"/>
  <c r="I20" i="3"/>
  <c r="I22" i="3" s="1"/>
  <c r="E109" i="1"/>
  <c r="C32" i="1"/>
  <c r="J20" i="3"/>
  <c r="J22" i="3" s="1"/>
  <c r="F109" i="1"/>
  <c r="I32" i="1"/>
  <c r="F15" i="3"/>
  <c r="F20" i="3" s="1"/>
  <c r="F22" i="3" s="1"/>
  <c r="F83" i="1"/>
  <c r="H43" i="1"/>
  <c r="J78" i="2"/>
  <c r="J31" i="2" s="1"/>
  <c r="E43" i="1" l="1"/>
  <c r="F32" i="1"/>
  <c r="E32" i="1"/>
  <c r="H32" i="1"/>
  <c r="J34" i="2"/>
  <c r="F43" i="1" s="1"/>
  <c r="F102" i="1"/>
  <c r="C102" i="4"/>
  <c r="C21" i="4" s="1"/>
  <c r="J101" i="4"/>
  <c r="H100" i="4"/>
  <c r="J100" i="4" s="1"/>
  <c r="H99" i="4"/>
  <c r="J99" i="4" s="1"/>
  <c r="E99" i="4"/>
  <c r="F99" i="4" s="1"/>
  <c r="J98" i="4"/>
  <c r="J97" i="4"/>
  <c r="J96" i="4"/>
  <c r="D94" i="4"/>
  <c r="E94" i="4" s="1"/>
  <c r="F94" i="4" s="1"/>
  <c r="D93" i="4"/>
  <c r="D92" i="4"/>
  <c r="E92" i="4" s="1"/>
  <c r="F92" i="4" s="1"/>
  <c r="D91" i="4"/>
  <c r="H91" i="4" s="1"/>
  <c r="I91" i="4" s="1"/>
  <c r="J91" i="4" s="1"/>
  <c r="H89" i="4"/>
  <c r="H20" i="4" s="1"/>
  <c r="D89" i="4"/>
  <c r="C89" i="4"/>
  <c r="C20" i="4" s="1"/>
  <c r="I88" i="4"/>
  <c r="I89" i="4" s="1"/>
  <c r="I20" i="4" s="1"/>
  <c r="E89" i="4"/>
  <c r="H85" i="4"/>
  <c r="H19" i="4" s="1"/>
  <c r="D85" i="4"/>
  <c r="D19" i="4" s="1"/>
  <c r="C85" i="4"/>
  <c r="C19" i="4" s="1"/>
  <c r="J84" i="4"/>
  <c r="J79" i="4"/>
  <c r="C77" i="4"/>
  <c r="C74" i="4"/>
  <c r="H72" i="4"/>
  <c r="H67" i="4"/>
  <c r="C66" i="4"/>
  <c r="C65" i="4"/>
  <c r="H65" i="4" s="1"/>
  <c r="J65" i="4" s="1"/>
  <c r="C64" i="4"/>
  <c r="C60" i="4"/>
  <c r="C59" i="4"/>
  <c r="C58" i="4"/>
  <c r="H58" i="4" s="1"/>
  <c r="J58" i="4" s="1"/>
  <c r="C57" i="4"/>
  <c r="C56" i="4"/>
  <c r="C55" i="4"/>
  <c r="C54" i="4"/>
  <c r="H54" i="4" s="1"/>
  <c r="J54" i="4" s="1"/>
  <c r="C53" i="4"/>
  <c r="C49" i="4"/>
  <c r="H49" i="4" s="1"/>
  <c r="C48" i="4"/>
  <c r="C47" i="4"/>
  <c r="C46" i="4"/>
  <c r="C42" i="4"/>
  <c r="H42" i="4" s="1"/>
  <c r="J42" i="4" s="1"/>
  <c r="C41" i="4"/>
  <c r="C40" i="4"/>
  <c r="C39" i="4"/>
  <c r="C38" i="4"/>
  <c r="H38" i="4" s="1"/>
  <c r="J38" i="4" s="1"/>
  <c r="C37" i="4"/>
  <c r="C36" i="4"/>
  <c r="C35" i="4"/>
  <c r="C33" i="4"/>
  <c r="C32" i="4"/>
  <c r="H31" i="4"/>
  <c r="J31" i="4" s="1"/>
  <c r="C30" i="4"/>
  <c r="H30" i="4" s="1"/>
  <c r="H29" i="4"/>
  <c r="H28" i="4"/>
  <c r="C12" i="4"/>
  <c r="H12" i="4" s="1"/>
  <c r="J12" i="4" s="1"/>
  <c r="C9" i="4"/>
  <c r="C8" i="4"/>
  <c r="C7" i="4"/>
  <c r="J6" i="4"/>
  <c r="J5" i="4"/>
  <c r="C52" i="13"/>
  <c r="D23" i="9"/>
  <c r="C97" i="9"/>
  <c r="C23" i="9" s="1"/>
  <c r="E96" i="9"/>
  <c r="J95" i="9"/>
  <c r="J94" i="9"/>
  <c r="H92" i="9"/>
  <c r="H93" i="9" s="1"/>
  <c r="J91" i="9"/>
  <c r="J92" i="9" s="1"/>
  <c r="C88" i="9"/>
  <c r="C22" i="9" s="1"/>
  <c r="I87" i="9"/>
  <c r="F22" i="9"/>
  <c r="H83" i="9"/>
  <c r="H21" i="9" s="1"/>
  <c r="C75" i="9"/>
  <c r="H75" i="9" s="1"/>
  <c r="H74" i="9"/>
  <c r="H72" i="9"/>
  <c r="H70" i="9"/>
  <c r="H69" i="9"/>
  <c r="C65" i="9"/>
  <c r="H65" i="9" s="1"/>
  <c r="J63" i="9"/>
  <c r="C60" i="9"/>
  <c r="C59" i="9"/>
  <c r="C58" i="9"/>
  <c r="C57" i="9"/>
  <c r="C55" i="9"/>
  <c r="C54" i="9"/>
  <c r="C53" i="9"/>
  <c r="C52" i="9"/>
  <c r="C48" i="9"/>
  <c r="H48" i="9" s="1"/>
  <c r="C47" i="9"/>
  <c r="H47" i="9" s="1"/>
  <c r="H45" i="9"/>
  <c r="C41" i="9"/>
  <c r="C38" i="9"/>
  <c r="H38" i="9" s="1"/>
  <c r="C35" i="9"/>
  <c r="H34" i="9"/>
  <c r="J34" i="9" s="1"/>
  <c r="C31" i="9"/>
  <c r="C30" i="9"/>
  <c r="C14" i="9"/>
  <c r="H13" i="9"/>
  <c r="C12" i="9"/>
  <c r="C11" i="9"/>
  <c r="H10" i="9"/>
  <c r="J9" i="9"/>
  <c r="C8" i="9"/>
  <c r="C7" i="9"/>
  <c r="C6" i="9"/>
  <c r="D100" i="13"/>
  <c r="D23" i="13" s="1"/>
  <c r="C100" i="13"/>
  <c r="J98" i="13"/>
  <c r="J97" i="13"/>
  <c r="J96" i="13"/>
  <c r="J95" i="13"/>
  <c r="F95" i="13"/>
  <c r="H91" i="13"/>
  <c r="H99" i="13" s="1"/>
  <c r="D91" i="13"/>
  <c r="C91" i="13"/>
  <c r="C22" i="13" s="1"/>
  <c r="I90" i="13"/>
  <c r="I91" i="13" s="1"/>
  <c r="E91" i="13"/>
  <c r="H87" i="13"/>
  <c r="H21" i="13" s="1"/>
  <c r="D87" i="13"/>
  <c r="D21" i="13" s="1"/>
  <c r="C87" i="13"/>
  <c r="C21" i="13" s="1"/>
  <c r="J86" i="13"/>
  <c r="J80" i="13"/>
  <c r="C77" i="13"/>
  <c r="C76" i="13"/>
  <c r="H74" i="13"/>
  <c r="C69" i="13"/>
  <c r="C66" i="13"/>
  <c r="C65" i="13"/>
  <c r="C64" i="13"/>
  <c r="C63" i="13"/>
  <c r="C62" i="13"/>
  <c r="C60" i="13"/>
  <c r="C59" i="13"/>
  <c r="C58" i="13"/>
  <c r="C53" i="13"/>
  <c r="H53" i="13" s="1"/>
  <c r="C51" i="13"/>
  <c r="C50" i="13"/>
  <c r="C46" i="13"/>
  <c r="C45" i="13"/>
  <c r="C44" i="13"/>
  <c r="C43" i="13"/>
  <c r="C40" i="13"/>
  <c r="C39" i="13"/>
  <c r="C38" i="13"/>
  <c r="C37" i="13"/>
  <c r="C35" i="13"/>
  <c r="C32" i="13"/>
  <c r="C31" i="13"/>
  <c r="C29" i="13"/>
  <c r="C28" i="13"/>
  <c r="C23" i="13"/>
  <c r="C14" i="13"/>
  <c r="C12" i="13"/>
  <c r="C10" i="13"/>
  <c r="C9" i="13"/>
  <c r="J8" i="13"/>
  <c r="C7" i="13"/>
  <c r="C6" i="13"/>
  <c r="J5" i="13"/>
  <c r="H102" i="5"/>
  <c r="H24" i="5" s="1"/>
  <c r="C102" i="5"/>
  <c r="C24" i="5" s="1"/>
  <c r="J100" i="5"/>
  <c r="J99" i="5"/>
  <c r="J98" i="5"/>
  <c r="J97" i="5"/>
  <c r="J96" i="5"/>
  <c r="D94" i="5"/>
  <c r="D93" i="5"/>
  <c r="E93" i="5" s="1"/>
  <c r="D92" i="5"/>
  <c r="E92" i="5" s="1"/>
  <c r="H90" i="5"/>
  <c r="H23" i="5" s="1"/>
  <c r="D90" i="5"/>
  <c r="C90" i="5"/>
  <c r="I89" i="5"/>
  <c r="I90" i="5" s="1"/>
  <c r="E90" i="5"/>
  <c r="H86" i="5"/>
  <c r="H22" i="5" s="1"/>
  <c r="D86" i="5"/>
  <c r="D22" i="5" s="1"/>
  <c r="C86" i="5"/>
  <c r="J85" i="5"/>
  <c r="J80" i="5"/>
  <c r="H77" i="5"/>
  <c r="J77" i="5" s="1"/>
  <c r="H75" i="5"/>
  <c r="H74" i="5"/>
  <c r="C68" i="5"/>
  <c r="C67" i="5"/>
  <c r="C66" i="5"/>
  <c r="C62" i="5"/>
  <c r="C61" i="5"/>
  <c r="H61" i="5" s="1"/>
  <c r="C60" i="5"/>
  <c r="C59" i="5"/>
  <c r="C58" i="5"/>
  <c r="C57" i="5"/>
  <c r="C56" i="5"/>
  <c r="C52" i="5"/>
  <c r="H52" i="5" s="1"/>
  <c r="C51" i="5"/>
  <c r="H51" i="5" s="1"/>
  <c r="C50" i="5"/>
  <c r="C49" i="5"/>
  <c r="H49" i="5" s="1"/>
  <c r="C45" i="5"/>
  <c r="C44" i="5"/>
  <c r="C43" i="5"/>
  <c r="C42" i="5"/>
  <c r="C41" i="5"/>
  <c r="C40" i="5"/>
  <c r="C39" i="5"/>
  <c r="C38" i="5"/>
  <c r="C37" i="5"/>
  <c r="C36" i="5"/>
  <c r="C34" i="5"/>
  <c r="C33" i="5"/>
  <c r="C32" i="5"/>
  <c r="C31" i="5"/>
  <c r="C30" i="5"/>
  <c r="C23" i="5"/>
  <c r="C22" i="5"/>
  <c r="C15" i="5"/>
  <c r="C14" i="5"/>
  <c r="C12" i="5"/>
  <c r="H11" i="5"/>
  <c r="J11" i="5" s="1"/>
  <c r="F10" i="5"/>
  <c r="L10" i="5" s="1"/>
  <c r="C8" i="5"/>
  <c r="C7" i="5"/>
  <c r="C6" i="5"/>
  <c r="C5" i="5"/>
  <c r="E20" i="4" l="1"/>
  <c r="F20" i="4" s="1"/>
  <c r="I154" i="1"/>
  <c r="E23" i="5"/>
  <c r="F23" i="5" s="1"/>
  <c r="I151" i="1"/>
  <c r="I22" i="13"/>
  <c r="E152" i="1"/>
  <c r="D20" i="4"/>
  <c r="C154" i="1"/>
  <c r="D23" i="5"/>
  <c r="C151" i="1"/>
  <c r="I23" i="5"/>
  <c r="E151" i="1"/>
  <c r="E22" i="13"/>
  <c r="F22" i="13" s="1"/>
  <c r="I152" i="1"/>
  <c r="D22" i="13"/>
  <c r="C152" i="1"/>
  <c r="J87" i="9"/>
  <c r="J88" i="9" s="1"/>
  <c r="I88" i="9"/>
  <c r="F100" i="13"/>
  <c r="H170" i="1" s="1"/>
  <c r="C170" i="1"/>
  <c r="C134" i="1"/>
  <c r="C171" i="1"/>
  <c r="C133" i="1"/>
  <c r="E154" i="1"/>
  <c r="C136" i="1"/>
  <c r="J90" i="13"/>
  <c r="J91" i="13" s="1"/>
  <c r="J22" i="13" s="1"/>
  <c r="E86" i="5"/>
  <c r="E22" i="5" s="1"/>
  <c r="D81" i="13"/>
  <c r="D20" i="13" s="1"/>
  <c r="D102" i="4"/>
  <c r="D21" i="4" s="1"/>
  <c r="H52" i="13"/>
  <c r="J52" i="13" s="1"/>
  <c r="H73" i="4"/>
  <c r="J73" i="4" s="1"/>
  <c r="E85" i="4"/>
  <c r="E19" i="4" s="1"/>
  <c r="H48" i="4"/>
  <c r="J48" i="4" s="1"/>
  <c r="H11" i="4"/>
  <c r="J11" i="4" s="1"/>
  <c r="H94" i="4"/>
  <c r="I94" i="4" s="1"/>
  <c r="J94" i="4" s="1"/>
  <c r="I85" i="4"/>
  <c r="H78" i="4"/>
  <c r="J78" i="4" s="1"/>
  <c r="E91" i="4"/>
  <c r="F91" i="4" s="1"/>
  <c r="C80" i="4"/>
  <c r="C18" i="4" s="1"/>
  <c r="J88" i="4"/>
  <c r="J89" i="4" s="1"/>
  <c r="J20" i="4" s="1"/>
  <c r="C43" i="4"/>
  <c r="C15" i="4" s="1"/>
  <c r="H56" i="9"/>
  <c r="J56" i="9" s="1"/>
  <c r="H88" i="9"/>
  <c r="H96" i="9" s="1"/>
  <c r="C15" i="9"/>
  <c r="H59" i="9"/>
  <c r="J59" i="9" s="1"/>
  <c r="H11" i="9"/>
  <c r="J11" i="9" s="1"/>
  <c r="H71" i="9"/>
  <c r="J71" i="9" s="1"/>
  <c r="D42" i="9"/>
  <c r="D17" i="9" s="1"/>
  <c r="C42" i="9"/>
  <c r="C17" i="9" s="1"/>
  <c r="I82" i="9"/>
  <c r="I83" i="9" s="1"/>
  <c r="H28" i="9"/>
  <c r="H30" i="9"/>
  <c r="J30" i="9" s="1"/>
  <c r="J13" i="9"/>
  <c r="C79" i="9"/>
  <c r="C83" i="9" s="1"/>
  <c r="C21" i="9" s="1"/>
  <c r="H46" i="13"/>
  <c r="J46" i="13" s="1"/>
  <c r="I87" i="13"/>
  <c r="H66" i="13"/>
  <c r="J66" i="13" s="1"/>
  <c r="J74" i="13"/>
  <c r="H58" i="13"/>
  <c r="J58" i="13" s="1"/>
  <c r="H12" i="13"/>
  <c r="H39" i="13"/>
  <c r="J39" i="13" s="1"/>
  <c r="H34" i="13"/>
  <c r="J7" i="13"/>
  <c r="C47" i="13"/>
  <c r="C17" i="13" s="1"/>
  <c r="E100" i="13"/>
  <c r="E23" i="13" s="1"/>
  <c r="E87" i="13"/>
  <c r="E21" i="13" s="1"/>
  <c r="H42" i="13"/>
  <c r="J42" i="13" s="1"/>
  <c r="H62" i="13"/>
  <c r="J62" i="13" s="1"/>
  <c r="J89" i="5"/>
  <c r="J90" i="5" s="1"/>
  <c r="J7" i="5"/>
  <c r="H62" i="5"/>
  <c r="J62" i="5" s="1"/>
  <c r="E97" i="5"/>
  <c r="F97" i="5" s="1"/>
  <c r="C16" i="5"/>
  <c r="H10" i="5"/>
  <c r="J10" i="5" s="1"/>
  <c r="H78" i="5"/>
  <c r="H46" i="4"/>
  <c r="D50" i="4"/>
  <c r="D16" i="4" s="1"/>
  <c r="H32" i="4"/>
  <c r="H47" i="4"/>
  <c r="J47" i="4" s="1"/>
  <c r="H56" i="4"/>
  <c r="J56" i="4" s="1"/>
  <c r="H74" i="4"/>
  <c r="J74" i="4" s="1"/>
  <c r="H37" i="4"/>
  <c r="J37" i="4" s="1"/>
  <c r="H55" i="4"/>
  <c r="J55" i="4" s="1"/>
  <c r="H33" i="4"/>
  <c r="H57" i="4"/>
  <c r="I57" i="4" s="1"/>
  <c r="J57" i="4" s="1"/>
  <c r="E57" i="4"/>
  <c r="F57" i="4" s="1"/>
  <c r="L57" i="4" s="1"/>
  <c r="H66" i="4"/>
  <c r="J66" i="4" s="1"/>
  <c r="H9" i="4"/>
  <c r="J9" i="4" s="1"/>
  <c r="J49" i="4"/>
  <c r="H41" i="4"/>
  <c r="J41" i="4" s="1"/>
  <c r="D68" i="4"/>
  <c r="D17" i="4" s="1"/>
  <c r="H53" i="4"/>
  <c r="H59" i="4"/>
  <c r="J59" i="4" s="1"/>
  <c r="H8" i="4"/>
  <c r="J8" i="4" s="1"/>
  <c r="H35" i="4"/>
  <c r="J35" i="4" s="1"/>
  <c r="H60" i="4"/>
  <c r="J60" i="4" s="1"/>
  <c r="J72" i="4"/>
  <c r="H77" i="4"/>
  <c r="J77" i="4" s="1"/>
  <c r="H39" i="4"/>
  <c r="J39" i="4" s="1"/>
  <c r="H40" i="4"/>
  <c r="J40" i="4" s="1"/>
  <c r="D13" i="4"/>
  <c r="H7" i="4"/>
  <c r="H36" i="4"/>
  <c r="J36" i="4" s="1"/>
  <c r="J64" i="4"/>
  <c r="J29" i="4"/>
  <c r="H92" i="4"/>
  <c r="I92" i="4" s="1"/>
  <c r="J92" i="4" s="1"/>
  <c r="C50" i="4"/>
  <c r="C16" i="4" s="1"/>
  <c r="H71" i="4"/>
  <c r="C13" i="4"/>
  <c r="C68" i="4"/>
  <c r="C17" i="4" s="1"/>
  <c r="E93" i="4"/>
  <c r="J28" i="4"/>
  <c r="J30" i="4"/>
  <c r="J67" i="4"/>
  <c r="H93" i="4"/>
  <c r="J83" i="4"/>
  <c r="J85" i="4" s="1"/>
  <c r="J48" i="9"/>
  <c r="H54" i="9"/>
  <c r="J54" i="9" s="1"/>
  <c r="J70" i="9"/>
  <c r="H57" i="9"/>
  <c r="J57" i="9" s="1"/>
  <c r="H60" i="9"/>
  <c r="J60" i="9" s="1"/>
  <c r="J65" i="9"/>
  <c r="D49" i="9"/>
  <c r="D18" i="9" s="1"/>
  <c r="J93" i="9"/>
  <c r="H31" i="9"/>
  <c r="J31" i="9" s="1"/>
  <c r="H35" i="9"/>
  <c r="J35" i="9" s="1"/>
  <c r="H58" i="9"/>
  <c r="J58" i="9" s="1"/>
  <c r="J38" i="9"/>
  <c r="H40" i="9"/>
  <c r="J40" i="9" s="1"/>
  <c r="J5" i="9"/>
  <c r="H8" i="9"/>
  <c r="J8" i="9" s="1"/>
  <c r="H32" i="9"/>
  <c r="H46" i="9"/>
  <c r="J46" i="9" s="1"/>
  <c r="D66" i="9"/>
  <c r="D19" i="9" s="1"/>
  <c r="H52" i="9"/>
  <c r="H55" i="9"/>
  <c r="J55" i="9" s="1"/>
  <c r="J78" i="9"/>
  <c r="H6" i="9"/>
  <c r="J6" i="9" s="1"/>
  <c r="H41" i="9"/>
  <c r="E23" i="9"/>
  <c r="D79" i="9"/>
  <c r="J10" i="9"/>
  <c r="H12" i="9"/>
  <c r="J12" i="9" s="1"/>
  <c r="H14" i="9"/>
  <c r="J14" i="9" s="1"/>
  <c r="J47" i="9"/>
  <c r="H53" i="9"/>
  <c r="J53" i="9" s="1"/>
  <c r="H64" i="9"/>
  <c r="I64" i="9" s="1"/>
  <c r="J64" i="9" s="1"/>
  <c r="E64" i="9"/>
  <c r="C49" i="9"/>
  <c r="C18" i="9" s="1"/>
  <c r="C66" i="9"/>
  <c r="C19" i="9" s="1"/>
  <c r="H50" i="13"/>
  <c r="D54" i="13"/>
  <c r="D18" i="13" s="1"/>
  <c r="H29" i="13"/>
  <c r="J29" i="13" s="1"/>
  <c r="H76" i="13"/>
  <c r="H51" i="13"/>
  <c r="J51" i="13" s="1"/>
  <c r="H69" i="13"/>
  <c r="J69" i="13" s="1"/>
  <c r="C15" i="13"/>
  <c r="J53" i="13"/>
  <c r="H32" i="13"/>
  <c r="J32" i="13" s="1"/>
  <c r="H38" i="13"/>
  <c r="J38" i="13" s="1"/>
  <c r="J75" i="13"/>
  <c r="J10" i="13"/>
  <c r="H35" i="13"/>
  <c r="J35" i="13" s="1"/>
  <c r="H40" i="13"/>
  <c r="J40" i="13" s="1"/>
  <c r="H63" i="13"/>
  <c r="J63" i="13" s="1"/>
  <c r="J14" i="13"/>
  <c r="H45" i="13"/>
  <c r="J45" i="13" s="1"/>
  <c r="H59" i="13"/>
  <c r="J59" i="13" s="1"/>
  <c r="H64" i="13"/>
  <c r="J64" i="13" s="1"/>
  <c r="H100" i="13"/>
  <c r="H23" i="13" s="1"/>
  <c r="J99" i="13"/>
  <c r="H43" i="13"/>
  <c r="J43" i="13" s="1"/>
  <c r="J9" i="13"/>
  <c r="H44" i="13"/>
  <c r="J44" i="13" s="1"/>
  <c r="D15" i="13"/>
  <c r="H31" i="13"/>
  <c r="J31" i="13" s="1"/>
  <c r="H37" i="13"/>
  <c r="J37" i="13" s="1"/>
  <c r="H60" i="13"/>
  <c r="J60" i="13" s="1"/>
  <c r="C81" i="13"/>
  <c r="C20" i="13" s="1"/>
  <c r="J84" i="13"/>
  <c r="J87" i="13" s="1"/>
  <c r="J94" i="13"/>
  <c r="C54" i="13"/>
  <c r="C18" i="13" s="1"/>
  <c r="C70" i="13"/>
  <c r="C19" i="13" s="1"/>
  <c r="H65" i="13"/>
  <c r="J65" i="13" s="1"/>
  <c r="D70" i="13"/>
  <c r="D19" i="13" s="1"/>
  <c r="H77" i="13"/>
  <c r="J77" i="13" s="1"/>
  <c r="H41" i="13"/>
  <c r="J41" i="13" s="1"/>
  <c r="H13" i="13"/>
  <c r="J13" i="13" s="1"/>
  <c r="H22" i="13"/>
  <c r="H58" i="5"/>
  <c r="J58" i="5" s="1"/>
  <c r="J73" i="5"/>
  <c r="H42" i="5"/>
  <c r="H60" i="5"/>
  <c r="J60" i="5" s="1"/>
  <c r="H67" i="5"/>
  <c r="J67" i="5" s="1"/>
  <c r="J12" i="5"/>
  <c r="H44" i="5"/>
  <c r="J44" i="5" s="1"/>
  <c r="E46" i="5"/>
  <c r="H57" i="5"/>
  <c r="J57" i="5" s="1"/>
  <c r="I86" i="5"/>
  <c r="J84" i="5"/>
  <c r="J86" i="5" s="1"/>
  <c r="H45" i="5"/>
  <c r="J45" i="5" s="1"/>
  <c r="H50" i="5"/>
  <c r="J50" i="5" s="1"/>
  <c r="J14" i="5"/>
  <c r="H43" i="5"/>
  <c r="J43" i="5" s="1"/>
  <c r="J51" i="5"/>
  <c r="H59" i="5"/>
  <c r="J59" i="5" s="1"/>
  <c r="J61" i="5"/>
  <c r="H66" i="5"/>
  <c r="J66" i="5" s="1"/>
  <c r="J74" i="5"/>
  <c r="H30" i="5"/>
  <c r="D53" i="5"/>
  <c r="D19" i="5" s="1"/>
  <c r="J8" i="5"/>
  <c r="H36" i="5"/>
  <c r="C46" i="5"/>
  <c r="C18" i="5" s="1"/>
  <c r="C81" i="5"/>
  <c r="C21" i="5" s="1"/>
  <c r="I94" i="5"/>
  <c r="E94" i="5"/>
  <c r="D102" i="5"/>
  <c r="D24" i="5" s="1"/>
  <c r="H15" i="5"/>
  <c r="J15" i="5" s="1"/>
  <c r="H41" i="5"/>
  <c r="D16" i="5"/>
  <c r="H9" i="5"/>
  <c r="F9" i="5"/>
  <c r="L9" i="5" s="1"/>
  <c r="H37" i="5"/>
  <c r="H40" i="5"/>
  <c r="J40" i="5" s="1"/>
  <c r="C69" i="5"/>
  <c r="C20" i="5" s="1"/>
  <c r="H68" i="5"/>
  <c r="J68" i="5" s="1"/>
  <c r="C53" i="5"/>
  <c r="C19" i="5" s="1"/>
  <c r="J78" i="5"/>
  <c r="E11" i="5"/>
  <c r="F11" i="5" s="1"/>
  <c r="L11" i="5" s="1"/>
  <c r="C95" i="10"/>
  <c r="C94" i="10"/>
  <c r="C93" i="10"/>
  <c r="C92" i="10"/>
  <c r="C91" i="10"/>
  <c r="C90" i="10"/>
  <c r="C89" i="10"/>
  <c r="C88" i="10"/>
  <c r="I84" i="10"/>
  <c r="C84" i="10"/>
  <c r="C75" i="10"/>
  <c r="C74" i="10"/>
  <c r="C73" i="10"/>
  <c r="H73" i="10" s="1"/>
  <c r="J73" i="10" s="1"/>
  <c r="C72" i="10"/>
  <c r="C65" i="10"/>
  <c r="H65" i="10" s="1"/>
  <c r="J65" i="10" s="1"/>
  <c r="C61" i="10"/>
  <c r="C60" i="10"/>
  <c r="C59" i="10"/>
  <c r="C58" i="10"/>
  <c r="C57" i="10"/>
  <c r="C56" i="10"/>
  <c r="C55" i="10"/>
  <c r="C54" i="10"/>
  <c r="C53" i="10"/>
  <c r="C52" i="10"/>
  <c r="C47" i="10"/>
  <c r="H47" i="10" s="1"/>
  <c r="C46" i="10"/>
  <c r="C45" i="10"/>
  <c r="C41" i="10"/>
  <c r="C40" i="10"/>
  <c r="C39" i="10"/>
  <c r="C38" i="10"/>
  <c r="C37" i="10"/>
  <c r="C36" i="10"/>
  <c r="C35" i="10"/>
  <c r="C34" i="10"/>
  <c r="C32" i="10"/>
  <c r="C31" i="10"/>
  <c r="C30" i="10"/>
  <c r="C29" i="10"/>
  <c r="C28" i="10"/>
  <c r="C27" i="10"/>
  <c r="C13" i="10"/>
  <c r="H13" i="10" s="1"/>
  <c r="C12" i="10"/>
  <c r="H12" i="10" s="1"/>
  <c r="C11" i="10"/>
  <c r="H11" i="10" s="1"/>
  <c r="J11" i="10" s="1"/>
  <c r="C10" i="10"/>
  <c r="C9" i="10"/>
  <c r="H8" i="10"/>
  <c r="C7" i="10"/>
  <c r="C5" i="10"/>
  <c r="J23" i="5" l="1"/>
  <c r="F151" i="1"/>
  <c r="I21" i="13"/>
  <c r="E134" i="1"/>
  <c r="J21" i="13"/>
  <c r="F134" i="1"/>
  <c r="J22" i="5"/>
  <c r="F133" i="1"/>
  <c r="I22" i="5"/>
  <c r="E133" i="1"/>
  <c r="I19" i="4"/>
  <c r="E136" i="1"/>
  <c r="J19" i="4"/>
  <c r="F136" i="1"/>
  <c r="I59" i="1"/>
  <c r="E18" i="5"/>
  <c r="I21" i="9"/>
  <c r="E135" i="1"/>
  <c r="I22" i="9"/>
  <c r="E153" i="1"/>
  <c r="J22" i="9"/>
  <c r="F153" i="1"/>
  <c r="C116" i="1"/>
  <c r="D20" i="9"/>
  <c r="C19" i="1"/>
  <c r="F23" i="13"/>
  <c r="I170" i="1"/>
  <c r="F21" i="13"/>
  <c r="I134" i="1"/>
  <c r="C115" i="1"/>
  <c r="C97" i="1"/>
  <c r="C78" i="1"/>
  <c r="C20" i="1"/>
  <c r="F23" i="9"/>
  <c r="I171" i="1"/>
  <c r="F64" i="9"/>
  <c r="F66" i="9" s="1"/>
  <c r="H98" i="1" s="1"/>
  <c r="C98" i="1"/>
  <c r="C79" i="1"/>
  <c r="C61" i="1"/>
  <c r="C169" i="1"/>
  <c r="F102" i="5"/>
  <c r="H169" i="1" s="1"/>
  <c r="F22" i="5"/>
  <c r="I133" i="1"/>
  <c r="C77" i="1"/>
  <c r="C172" i="1"/>
  <c r="F19" i="4"/>
  <c r="I136" i="1"/>
  <c r="F154" i="1"/>
  <c r="C99" i="1"/>
  <c r="F68" i="4"/>
  <c r="H99" i="1" s="1"/>
  <c r="C80" i="1"/>
  <c r="C22" i="1"/>
  <c r="F152" i="1"/>
  <c r="F16" i="5"/>
  <c r="E102" i="4"/>
  <c r="E21" i="4" s="1"/>
  <c r="F93" i="4"/>
  <c r="F102" i="4"/>
  <c r="H172" i="1" s="1"/>
  <c r="J82" i="9"/>
  <c r="J83" i="9" s="1"/>
  <c r="H46" i="5"/>
  <c r="H18" i="5" s="1"/>
  <c r="D81" i="5"/>
  <c r="D21" i="5" s="1"/>
  <c r="J72" i="5"/>
  <c r="J32" i="9"/>
  <c r="J32" i="4"/>
  <c r="J73" i="13"/>
  <c r="E81" i="13"/>
  <c r="E20" i="13" s="1"/>
  <c r="H81" i="13"/>
  <c r="H20" i="13" s="1"/>
  <c r="J34" i="13"/>
  <c r="H102" i="4"/>
  <c r="H21" i="4" s="1"/>
  <c r="C22" i="4"/>
  <c r="C24" i="4" s="1"/>
  <c r="H13" i="4"/>
  <c r="E49" i="9"/>
  <c r="E18" i="9" s="1"/>
  <c r="H7" i="9"/>
  <c r="J7" i="9" s="1"/>
  <c r="J15" i="9" s="1"/>
  <c r="F21" i="1" s="1"/>
  <c r="D15" i="9"/>
  <c r="H22" i="9"/>
  <c r="J96" i="9"/>
  <c r="H97" i="9"/>
  <c r="H23" i="9" s="1"/>
  <c r="E42" i="9"/>
  <c r="E17" i="9" s="1"/>
  <c r="E15" i="9"/>
  <c r="E66" i="9"/>
  <c r="E19" i="9" s="1"/>
  <c r="H42" i="9"/>
  <c r="H17" i="9" s="1"/>
  <c r="C20" i="9"/>
  <c r="C24" i="9" s="1"/>
  <c r="C26" i="9" s="1"/>
  <c r="E15" i="13"/>
  <c r="J100" i="13"/>
  <c r="J23" i="13" s="1"/>
  <c r="C24" i="13"/>
  <c r="C26" i="13" s="1"/>
  <c r="I100" i="13"/>
  <c r="I23" i="13" s="1"/>
  <c r="H15" i="13"/>
  <c r="E70" i="13"/>
  <c r="E19" i="13" s="1"/>
  <c r="E102" i="5"/>
  <c r="E24" i="5" s="1"/>
  <c r="E53" i="5"/>
  <c r="E19" i="5" s="1"/>
  <c r="H53" i="5"/>
  <c r="H19" i="5" s="1"/>
  <c r="F18" i="5"/>
  <c r="H16" i="5"/>
  <c r="H34" i="10"/>
  <c r="J34" i="10" s="1"/>
  <c r="H48" i="10"/>
  <c r="J48" i="10" s="1"/>
  <c r="J13" i="10"/>
  <c r="C85" i="10"/>
  <c r="C21" i="10" s="1"/>
  <c r="D81" i="10"/>
  <c r="D20" i="10" s="1"/>
  <c r="C81" i="10"/>
  <c r="C20" i="10" s="1"/>
  <c r="E80" i="4"/>
  <c r="E18" i="4" s="1"/>
  <c r="H80" i="4"/>
  <c r="H18" i="4" s="1"/>
  <c r="D80" i="4"/>
  <c r="D18" i="4" s="1"/>
  <c r="H68" i="4"/>
  <c r="H17" i="4" s="1"/>
  <c r="H50" i="4"/>
  <c r="H16" i="4" s="1"/>
  <c r="E50" i="4"/>
  <c r="E16" i="4" s="1"/>
  <c r="H27" i="4"/>
  <c r="H43" i="4" s="1"/>
  <c r="F15" i="4"/>
  <c r="E68" i="4"/>
  <c r="E17" i="4" s="1"/>
  <c r="I93" i="4"/>
  <c r="I79" i="9"/>
  <c r="J69" i="9"/>
  <c r="J79" i="9" s="1"/>
  <c r="J20" i="9" s="1"/>
  <c r="J28" i="9"/>
  <c r="J41" i="9"/>
  <c r="E79" i="9"/>
  <c r="H79" i="9"/>
  <c r="H20" i="9" s="1"/>
  <c r="H66" i="9"/>
  <c r="H19" i="9" s="1"/>
  <c r="J45" i="9"/>
  <c r="I49" i="9"/>
  <c r="H49" i="9"/>
  <c r="H18" i="9" s="1"/>
  <c r="H70" i="13"/>
  <c r="H19" i="13" s="1"/>
  <c r="H54" i="13"/>
  <c r="H18" i="13" s="1"/>
  <c r="I70" i="13"/>
  <c r="E54" i="13"/>
  <c r="E18" i="13" s="1"/>
  <c r="E47" i="13"/>
  <c r="E17" i="13" s="1"/>
  <c r="D47" i="13"/>
  <c r="D17" i="13" s="1"/>
  <c r="H28" i="13"/>
  <c r="H47" i="13" s="1"/>
  <c r="H17" i="13" s="1"/>
  <c r="I81" i="13"/>
  <c r="J9" i="5"/>
  <c r="J75" i="5"/>
  <c r="H56" i="5"/>
  <c r="H69" i="5" s="1"/>
  <c r="H20" i="5" s="1"/>
  <c r="D69" i="5"/>
  <c r="D20" i="5" s="1"/>
  <c r="E69" i="5"/>
  <c r="E20" i="5" s="1"/>
  <c r="J52" i="5"/>
  <c r="J6" i="5"/>
  <c r="E16" i="5"/>
  <c r="I102" i="5"/>
  <c r="I24" i="5" s="1"/>
  <c r="J94" i="5"/>
  <c r="J102" i="5" s="1"/>
  <c r="J24" i="5" s="1"/>
  <c r="H79" i="5"/>
  <c r="J79" i="5" s="1"/>
  <c r="E81" i="5"/>
  <c r="J49" i="5"/>
  <c r="C25" i="5"/>
  <c r="C27" i="5" s="1"/>
  <c r="J5" i="5"/>
  <c r="H41" i="10"/>
  <c r="J41" i="10" s="1"/>
  <c r="H53" i="10"/>
  <c r="J53" i="10" s="1"/>
  <c r="J61" i="10"/>
  <c r="J29" i="10"/>
  <c r="D14" i="10"/>
  <c r="C17" i="1" s="1"/>
  <c r="J92" i="10"/>
  <c r="J47" i="10"/>
  <c r="H57" i="10"/>
  <c r="J57" i="10" s="1"/>
  <c r="H10" i="10"/>
  <c r="J10" i="10" s="1"/>
  <c r="D76" i="10"/>
  <c r="D19" i="10" s="1"/>
  <c r="J59" i="10"/>
  <c r="J94" i="10"/>
  <c r="H40" i="10"/>
  <c r="J40" i="10" s="1"/>
  <c r="J91" i="10"/>
  <c r="D42" i="10"/>
  <c r="D16" i="10" s="1"/>
  <c r="H27" i="10"/>
  <c r="H35" i="10"/>
  <c r="J35" i="10" s="1"/>
  <c r="H38" i="10"/>
  <c r="J38" i="10" s="1"/>
  <c r="J75" i="10"/>
  <c r="J80" i="10"/>
  <c r="J12" i="10"/>
  <c r="J8" i="10"/>
  <c r="H30" i="10"/>
  <c r="J30" i="10" s="1"/>
  <c r="H36" i="10"/>
  <c r="J36" i="10" s="1"/>
  <c r="H39" i="10"/>
  <c r="J39" i="10" s="1"/>
  <c r="H58" i="10"/>
  <c r="C66" i="10"/>
  <c r="C18" i="10" s="1"/>
  <c r="J71" i="10"/>
  <c r="J90" i="10"/>
  <c r="J28" i="10"/>
  <c r="H31" i="10"/>
  <c r="J31" i="10" s="1"/>
  <c r="H45" i="10"/>
  <c r="J45" i="10" s="1"/>
  <c r="H74" i="10"/>
  <c r="J74" i="10" s="1"/>
  <c r="J9" i="10"/>
  <c r="J84" i="10"/>
  <c r="H60" i="10"/>
  <c r="J60" i="10" s="1"/>
  <c r="D85" i="10"/>
  <c r="H85" i="10"/>
  <c r="H21" i="10" s="1"/>
  <c r="E85" i="10"/>
  <c r="E89" i="10"/>
  <c r="F89" i="10" s="1"/>
  <c r="H95" i="10"/>
  <c r="I95" i="10" s="1"/>
  <c r="J95" i="10" s="1"/>
  <c r="E95" i="10"/>
  <c r="H37" i="10"/>
  <c r="J37" i="10" s="1"/>
  <c r="C96" i="10"/>
  <c r="C22" i="10" s="1"/>
  <c r="H56" i="10"/>
  <c r="J56" i="10" s="1"/>
  <c r="H72" i="10"/>
  <c r="J72" i="10" s="1"/>
  <c r="C14" i="10"/>
  <c r="H32" i="10"/>
  <c r="J32" i="10" s="1"/>
  <c r="C49" i="10"/>
  <c r="C17" i="10" s="1"/>
  <c r="D49" i="10"/>
  <c r="H54" i="10"/>
  <c r="J54" i="10" s="1"/>
  <c r="J70" i="10"/>
  <c r="H89" i="10"/>
  <c r="J89" i="10" s="1"/>
  <c r="H52" i="10"/>
  <c r="J52" i="10" s="1"/>
  <c r="D66" i="10"/>
  <c r="H55" i="10"/>
  <c r="J55" i="10" s="1"/>
  <c r="C76" i="10"/>
  <c r="C19" i="10" s="1"/>
  <c r="J93" i="10"/>
  <c r="D96" i="10"/>
  <c r="D22" i="10" s="1"/>
  <c r="C42" i="10"/>
  <c r="C16" i="10" s="1"/>
  <c r="I114" i="1" l="1"/>
  <c r="E21" i="5"/>
  <c r="F21" i="5" s="1"/>
  <c r="L64" i="9"/>
  <c r="E115" i="1"/>
  <c r="I20" i="13"/>
  <c r="E97" i="1"/>
  <c r="I19" i="13"/>
  <c r="E116" i="1"/>
  <c r="I20" i="9"/>
  <c r="F135" i="1"/>
  <c r="J21" i="9"/>
  <c r="I18" i="9"/>
  <c r="E79" i="1"/>
  <c r="J23" i="9"/>
  <c r="F171" i="1"/>
  <c r="I116" i="1"/>
  <c r="E20" i="9"/>
  <c r="E21" i="10"/>
  <c r="F21" i="10" s="1"/>
  <c r="I149" i="1"/>
  <c r="D21" i="10"/>
  <c r="C149" i="1"/>
  <c r="C94" i="1"/>
  <c r="D18" i="10"/>
  <c r="C75" i="1"/>
  <c r="D17" i="10"/>
  <c r="I19" i="1"/>
  <c r="H19" i="1"/>
  <c r="E170" i="1"/>
  <c r="F170" i="1"/>
  <c r="F20" i="13"/>
  <c r="I115" i="1"/>
  <c r="F19" i="13"/>
  <c r="I97" i="1"/>
  <c r="F18" i="13"/>
  <c r="I78" i="1"/>
  <c r="F17" i="13"/>
  <c r="I60" i="1"/>
  <c r="D24" i="13"/>
  <c r="D26" i="13" s="1"/>
  <c r="C60" i="1"/>
  <c r="I20" i="1"/>
  <c r="C131" i="1"/>
  <c r="C112" i="1"/>
  <c r="C57" i="1"/>
  <c r="F116" i="1"/>
  <c r="F19" i="9"/>
  <c r="I98" i="1"/>
  <c r="F18" i="9"/>
  <c r="I79" i="1"/>
  <c r="F17" i="9"/>
  <c r="I61" i="1"/>
  <c r="I21" i="1"/>
  <c r="C21" i="1"/>
  <c r="F169" i="1"/>
  <c r="E169" i="1"/>
  <c r="F24" i="5"/>
  <c r="I169" i="1"/>
  <c r="C114" i="1"/>
  <c r="F20" i="5"/>
  <c r="I96" i="1"/>
  <c r="C96" i="1"/>
  <c r="F19" i="5"/>
  <c r="I77" i="1"/>
  <c r="F21" i="4"/>
  <c r="I172" i="1"/>
  <c r="F18" i="4"/>
  <c r="I117" i="1"/>
  <c r="C117" i="1"/>
  <c r="F17" i="4"/>
  <c r="I99" i="1"/>
  <c r="I80" i="1"/>
  <c r="F16" i="4"/>
  <c r="H15" i="4"/>
  <c r="H22" i="4" s="1"/>
  <c r="H24" i="4" s="1"/>
  <c r="C167" i="1"/>
  <c r="F96" i="10"/>
  <c r="H167" i="1" s="1"/>
  <c r="J33" i="4"/>
  <c r="I43" i="4"/>
  <c r="J46" i="5"/>
  <c r="J18" i="5" s="1"/>
  <c r="I46" i="5"/>
  <c r="I18" i="5" s="1"/>
  <c r="J58" i="10"/>
  <c r="I66" i="10"/>
  <c r="I81" i="5"/>
  <c r="I21" i="5" s="1"/>
  <c r="H81" i="5"/>
  <c r="H21" i="5" s="1"/>
  <c r="H25" i="5" s="1"/>
  <c r="H27" i="5" s="1"/>
  <c r="D25" i="5"/>
  <c r="D27" i="5" s="1"/>
  <c r="J81" i="5"/>
  <c r="J21" i="5" s="1"/>
  <c r="J8" i="2"/>
  <c r="J14" i="2"/>
  <c r="J9" i="2"/>
  <c r="D22" i="4"/>
  <c r="D24" i="4" s="1"/>
  <c r="H15" i="9"/>
  <c r="I15" i="9"/>
  <c r="H24" i="9"/>
  <c r="D24" i="9"/>
  <c r="D26" i="9" s="1"/>
  <c r="E24" i="13"/>
  <c r="E26" i="13" s="1"/>
  <c r="J28" i="13"/>
  <c r="J47" i="13" s="1"/>
  <c r="J17" i="13" s="1"/>
  <c r="I53" i="5"/>
  <c r="I69" i="5"/>
  <c r="H14" i="10"/>
  <c r="E81" i="10"/>
  <c r="E20" i="10" s="1"/>
  <c r="H81" i="10"/>
  <c r="H20" i="10" s="1"/>
  <c r="I50" i="4"/>
  <c r="J46" i="4"/>
  <c r="I102" i="4"/>
  <c r="I21" i="4" s="1"/>
  <c r="J93" i="4"/>
  <c r="J102" i="4" s="1"/>
  <c r="J21" i="4" s="1"/>
  <c r="J7" i="4"/>
  <c r="J13" i="4" s="1"/>
  <c r="I13" i="4"/>
  <c r="L32" i="4" s="1"/>
  <c r="J53" i="4"/>
  <c r="I68" i="4"/>
  <c r="F20" i="9"/>
  <c r="J49" i="9"/>
  <c r="J18" i="9" s="1"/>
  <c r="J42" i="9"/>
  <c r="J17" i="9" s="1"/>
  <c r="J52" i="9"/>
  <c r="I66" i="9"/>
  <c r="I42" i="9"/>
  <c r="I17" i="9" s="1"/>
  <c r="J76" i="13"/>
  <c r="J81" i="13" s="1"/>
  <c r="H24" i="13"/>
  <c r="H26" i="13" s="1"/>
  <c r="J70" i="13"/>
  <c r="J19" i="13" s="1"/>
  <c r="J6" i="13"/>
  <c r="J15" i="13" s="1"/>
  <c r="I15" i="13"/>
  <c r="L34" i="13" s="1"/>
  <c r="I54" i="13"/>
  <c r="J50" i="13"/>
  <c r="I16" i="5"/>
  <c r="L35" i="5" s="1"/>
  <c r="J16" i="5"/>
  <c r="J69" i="10"/>
  <c r="J76" i="10" s="1"/>
  <c r="I76" i="10"/>
  <c r="H96" i="10"/>
  <c r="H22" i="10" s="1"/>
  <c r="C23" i="10"/>
  <c r="C25" i="10" s="1"/>
  <c r="E96" i="10"/>
  <c r="E22" i="10" s="1"/>
  <c r="E76" i="10"/>
  <c r="E19" i="10" s="1"/>
  <c r="E66" i="10"/>
  <c r="E18" i="10" s="1"/>
  <c r="H46" i="10"/>
  <c r="E49" i="10"/>
  <c r="E17" i="10" s="1"/>
  <c r="H66" i="10"/>
  <c r="H18" i="10" s="1"/>
  <c r="J5" i="10"/>
  <c r="J27" i="10"/>
  <c r="E42" i="10"/>
  <c r="E16" i="10" s="1"/>
  <c r="H76" i="10"/>
  <c r="H19" i="10" s="1"/>
  <c r="H42" i="10"/>
  <c r="H16" i="10" s="1"/>
  <c r="J7" i="10"/>
  <c r="E14" i="10"/>
  <c r="I38" i="1" l="1"/>
  <c r="E99" i="1"/>
  <c r="I17" i="4"/>
  <c r="I16" i="4"/>
  <c r="E80" i="1"/>
  <c r="E62" i="1"/>
  <c r="I15" i="4"/>
  <c r="E96" i="1"/>
  <c r="I20" i="5"/>
  <c r="J53" i="5"/>
  <c r="J19" i="5" s="1"/>
  <c r="I19" i="5"/>
  <c r="E77" i="1"/>
  <c r="E21" i="1"/>
  <c r="L32" i="9"/>
  <c r="F115" i="1"/>
  <c r="J20" i="13"/>
  <c r="I18" i="13"/>
  <c r="E78" i="1"/>
  <c r="I23" i="9"/>
  <c r="E171" i="1"/>
  <c r="E98" i="1"/>
  <c r="I19" i="9"/>
  <c r="C39" i="1"/>
  <c r="H26" i="9"/>
  <c r="I19" i="10"/>
  <c r="E112" i="1"/>
  <c r="J19" i="10"/>
  <c r="F112" i="1"/>
  <c r="E94" i="1"/>
  <c r="I18" i="10"/>
  <c r="F97" i="1"/>
  <c r="F24" i="13"/>
  <c r="F26" i="13" s="1"/>
  <c r="F19" i="1"/>
  <c r="E19" i="1"/>
  <c r="F60" i="1"/>
  <c r="C38" i="1"/>
  <c r="E20" i="1"/>
  <c r="F20" i="1"/>
  <c r="F20" i="10"/>
  <c r="I131" i="1"/>
  <c r="F19" i="10"/>
  <c r="I112" i="1"/>
  <c r="F18" i="10"/>
  <c r="I94" i="1"/>
  <c r="F17" i="10"/>
  <c r="I75" i="1"/>
  <c r="F16" i="10"/>
  <c r="I57" i="1"/>
  <c r="I17" i="1"/>
  <c r="F79" i="1"/>
  <c r="E61" i="1"/>
  <c r="F61" i="1"/>
  <c r="E114" i="1"/>
  <c r="F77" i="1"/>
  <c r="F114" i="1"/>
  <c r="C37" i="1"/>
  <c r="E59" i="1"/>
  <c r="F59" i="1"/>
  <c r="F172" i="1"/>
  <c r="E172" i="1"/>
  <c r="F22" i="4"/>
  <c r="E22" i="4"/>
  <c r="E24" i="4" s="1"/>
  <c r="C40" i="1"/>
  <c r="E22" i="1"/>
  <c r="F22" i="1"/>
  <c r="I167" i="1"/>
  <c r="F24" i="9"/>
  <c r="F26" i="9" s="1"/>
  <c r="E25" i="5"/>
  <c r="E27" i="5" s="1"/>
  <c r="F25" i="5"/>
  <c r="F27" i="5" s="1"/>
  <c r="I47" i="13"/>
  <c r="I17" i="13" s="1"/>
  <c r="J46" i="10"/>
  <c r="I49" i="10"/>
  <c r="J16" i="2"/>
  <c r="E24" i="9"/>
  <c r="E26" i="9" s="1"/>
  <c r="J56" i="5"/>
  <c r="I14" i="10"/>
  <c r="L33" i="10" s="1"/>
  <c r="D23" i="10"/>
  <c r="D25" i="10" s="1"/>
  <c r="H49" i="10"/>
  <c r="H17" i="10" s="1"/>
  <c r="H23" i="10" s="1"/>
  <c r="H25" i="10" s="1"/>
  <c r="I80" i="4"/>
  <c r="I18" i="4" s="1"/>
  <c r="J71" i="4"/>
  <c r="J80" i="4" s="1"/>
  <c r="J18" i="4" s="1"/>
  <c r="J68" i="4"/>
  <c r="J17" i="4" s="1"/>
  <c r="J27" i="4"/>
  <c r="J50" i="4"/>
  <c r="J16" i="4" s="1"/>
  <c r="J66" i="9"/>
  <c r="J19" i="9" s="1"/>
  <c r="J54" i="13"/>
  <c r="J18" i="13" s="1"/>
  <c r="J69" i="5"/>
  <c r="J20" i="5" s="1"/>
  <c r="J14" i="10"/>
  <c r="F17" i="1" s="1"/>
  <c r="J85" i="10"/>
  <c r="I85" i="10"/>
  <c r="J79" i="10"/>
  <c r="J81" i="10" s="1"/>
  <c r="I81" i="10"/>
  <c r="J88" i="10"/>
  <c r="J96" i="10" s="1"/>
  <c r="J22" i="10" s="1"/>
  <c r="I96" i="10"/>
  <c r="I22" i="10" s="1"/>
  <c r="H40" i="1" l="1"/>
  <c r="F24" i="4"/>
  <c r="I24" i="9"/>
  <c r="I26" i="9" s="1"/>
  <c r="E17" i="1"/>
  <c r="J20" i="10"/>
  <c r="F131" i="1"/>
  <c r="I20" i="10"/>
  <c r="E131" i="1"/>
  <c r="J21" i="10"/>
  <c r="F149" i="1"/>
  <c r="I21" i="10"/>
  <c r="E149" i="1"/>
  <c r="E75" i="1"/>
  <c r="I17" i="10"/>
  <c r="H38" i="1"/>
  <c r="F78" i="1"/>
  <c r="E60" i="1"/>
  <c r="E167" i="1"/>
  <c r="F167" i="1"/>
  <c r="F22" i="10"/>
  <c r="F23" i="10" s="1"/>
  <c r="F25" i="10" s="1"/>
  <c r="J24" i="9"/>
  <c r="J26" i="9" s="1"/>
  <c r="F98" i="1"/>
  <c r="I39" i="1"/>
  <c r="I37" i="1"/>
  <c r="H37" i="1"/>
  <c r="J25" i="5"/>
  <c r="J27" i="5" s="1"/>
  <c r="F96" i="1"/>
  <c r="E117" i="1"/>
  <c r="F80" i="1"/>
  <c r="F117" i="1"/>
  <c r="I40" i="1"/>
  <c r="F99" i="1"/>
  <c r="C35" i="1"/>
  <c r="E23" i="10"/>
  <c r="E25" i="10" s="1"/>
  <c r="H39" i="1"/>
  <c r="J43" i="4"/>
  <c r="J15" i="4" s="1"/>
  <c r="J24" i="13"/>
  <c r="J26" i="13" s="1"/>
  <c r="I24" i="13"/>
  <c r="I25" i="5"/>
  <c r="I27" i="5" s="1"/>
  <c r="I22" i="4"/>
  <c r="I24" i="4" s="1"/>
  <c r="J66" i="10"/>
  <c r="J18" i="10" s="1"/>
  <c r="E39" i="1" l="1"/>
  <c r="I12" i="2"/>
  <c r="J12" i="2" s="1"/>
  <c r="J33" i="10"/>
  <c r="J42" i="10" s="1"/>
  <c r="I42" i="10"/>
  <c r="F39" i="1"/>
  <c r="E38" i="1"/>
  <c r="H35" i="1"/>
  <c r="F94" i="1"/>
  <c r="E37" i="1"/>
  <c r="F37" i="1"/>
  <c r="J22" i="4"/>
  <c r="J24" i="4" s="1"/>
  <c r="F62" i="1"/>
  <c r="E40" i="1"/>
  <c r="I35" i="1"/>
  <c r="F38" i="1"/>
  <c r="J49" i="10"/>
  <c r="J17" i="10" s="1"/>
  <c r="J95" i="11"/>
  <c r="J94" i="11"/>
  <c r="J93" i="11"/>
  <c r="J92" i="11"/>
  <c r="H82" i="11"/>
  <c r="H20" i="11" s="1"/>
  <c r="D82" i="11"/>
  <c r="D20" i="11" s="1"/>
  <c r="J81" i="11"/>
  <c r="C81" i="11"/>
  <c r="J80" i="11"/>
  <c r="D87" i="11"/>
  <c r="C87" i="11"/>
  <c r="C21" i="11" s="1"/>
  <c r="H86" i="11"/>
  <c r="I86" i="11" s="1"/>
  <c r="J86" i="11" s="1"/>
  <c r="E86" i="11"/>
  <c r="I85" i="11"/>
  <c r="H73" i="11"/>
  <c r="H71" i="11"/>
  <c r="C66" i="11"/>
  <c r="C63" i="11"/>
  <c r="C62" i="11"/>
  <c r="H62" i="11" s="1"/>
  <c r="C61" i="11"/>
  <c r="J60" i="11"/>
  <c r="J59" i="11"/>
  <c r="C57" i="11"/>
  <c r="C56" i="11"/>
  <c r="C55" i="11"/>
  <c r="C54" i="11"/>
  <c r="C50" i="11"/>
  <c r="H50" i="11" s="1"/>
  <c r="C49" i="11"/>
  <c r="H49" i="11" s="1"/>
  <c r="C48" i="11"/>
  <c r="C47" i="11"/>
  <c r="C43" i="11"/>
  <c r="C42" i="11"/>
  <c r="C41" i="11"/>
  <c r="C40" i="11"/>
  <c r="C39" i="11"/>
  <c r="C38" i="11"/>
  <c r="C37" i="11"/>
  <c r="H37" i="11" s="1"/>
  <c r="C36" i="11"/>
  <c r="C35" i="11"/>
  <c r="C32" i="11"/>
  <c r="C31" i="11"/>
  <c r="C29" i="11"/>
  <c r="C13" i="11"/>
  <c r="C11" i="11"/>
  <c r="C10" i="11"/>
  <c r="C9" i="11"/>
  <c r="J8" i="11"/>
  <c r="C7" i="11"/>
  <c r="C6" i="11"/>
  <c r="C5" i="11"/>
  <c r="C97" i="11" l="1"/>
  <c r="I16" i="10"/>
  <c r="I23" i="10" s="1"/>
  <c r="I25" i="10" s="1"/>
  <c r="E57" i="1"/>
  <c r="J16" i="10"/>
  <c r="J23" i="10" s="1"/>
  <c r="J25" i="10" s="1"/>
  <c r="F57" i="1"/>
  <c r="D21" i="11"/>
  <c r="C150" i="1"/>
  <c r="C132" i="1"/>
  <c r="F75" i="1"/>
  <c r="F40" i="1"/>
  <c r="J90" i="11"/>
  <c r="J82" i="11"/>
  <c r="E87" i="11"/>
  <c r="J6" i="11"/>
  <c r="H96" i="11"/>
  <c r="J96" i="11" s="1"/>
  <c r="H39" i="11"/>
  <c r="J39" i="11" s="1"/>
  <c r="C82" i="11"/>
  <c r="C20" i="11" s="1"/>
  <c r="I82" i="11"/>
  <c r="E82" i="11"/>
  <c r="E20" i="11" s="1"/>
  <c r="C44" i="11"/>
  <c r="C16" i="11" s="1"/>
  <c r="H87" i="11"/>
  <c r="H21" i="11" s="1"/>
  <c r="J73" i="11"/>
  <c r="I87" i="11"/>
  <c r="I21" i="11" s="1"/>
  <c r="J10" i="11"/>
  <c r="H38" i="11"/>
  <c r="J38" i="11" s="1"/>
  <c r="J71" i="11"/>
  <c r="H48" i="11"/>
  <c r="J48" i="11" s="1"/>
  <c r="J63" i="11"/>
  <c r="H42" i="11"/>
  <c r="J42" i="11" s="1"/>
  <c r="J50" i="11"/>
  <c r="J9" i="11"/>
  <c r="C14" i="11"/>
  <c r="H43" i="11"/>
  <c r="J43" i="11" s="1"/>
  <c r="D14" i="11"/>
  <c r="H36" i="11"/>
  <c r="J49" i="11"/>
  <c r="H56" i="11"/>
  <c r="J56" i="11" s="1"/>
  <c r="J66" i="11"/>
  <c r="J75" i="11"/>
  <c r="C77" i="11"/>
  <c r="C19" i="11" s="1"/>
  <c r="H41" i="11"/>
  <c r="J41" i="11" s="1"/>
  <c r="J62" i="11"/>
  <c r="J72" i="11"/>
  <c r="D51" i="11"/>
  <c r="D17" i="11" s="1"/>
  <c r="J85" i="11"/>
  <c r="J87" i="11" s="1"/>
  <c r="J21" i="11" s="1"/>
  <c r="D77" i="11"/>
  <c r="D19" i="11" s="1"/>
  <c r="J13" i="11"/>
  <c r="J76" i="11"/>
  <c r="H31" i="11"/>
  <c r="J31" i="11" s="1"/>
  <c r="C67" i="11"/>
  <c r="C18" i="11" s="1"/>
  <c r="J37" i="11"/>
  <c r="H35" i="11"/>
  <c r="J35" i="11" s="1"/>
  <c r="H57" i="11"/>
  <c r="J57" i="11" s="1"/>
  <c r="H47" i="11"/>
  <c r="J7" i="11"/>
  <c r="H40" i="11"/>
  <c r="J40" i="11" s="1"/>
  <c r="H55" i="11"/>
  <c r="J55" i="11" s="1"/>
  <c r="H32" i="11"/>
  <c r="J32" i="11" s="1"/>
  <c r="H61" i="11"/>
  <c r="J61" i="11" s="1"/>
  <c r="E91" i="11"/>
  <c r="F91" i="11" s="1"/>
  <c r="H91" i="11"/>
  <c r="C51" i="11"/>
  <c r="C17" i="11" s="1"/>
  <c r="E35" i="1" l="1"/>
  <c r="I20" i="11"/>
  <c r="E132" i="1"/>
  <c r="E21" i="11"/>
  <c r="F21" i="11" s="1"/>
  <c r="I150" i="1"/>
  <c r="J20" i="11"/>
  <c r="F132" i="1"/>
  <c r="E97" i="11"/>
  <c r="F20" i="11"/>
  <c r="I132" i="1"/>
  <c r="C113" i="1"/>
  <c r="F150" i="1"/>
  <c r="E150" i="1"/>
  <c r="C76" i="1"/>
  <c r="C18" i="1"/>
  <c r="F35" i="1"/>
  <c r="J36" i="11"/>
  <c r="I44" i="11"/>
  <c r="F97" i="11"/>
  <c r="H168" i="1" s="1"/>
  <c r="C22" i="11"/>
  <c r="C23" i="11" s="1"/>
  <c r="C25" i="11" s="1"/>
  <c r="J34" i="11"/>
  <c r="E14" i="11"/>
  <c r="E77" i="11"/>
  <c r="E19" i="11" s="1"/>
  <c r="H77" i="11"/>
  <c r="H19" i="11" s="1"/>
  <c r="H14" i="11"/>
  <c r="E67" i="11"/>
  <c r="E18" i="11" s="1"/>
  <c r="H67" i="11"/>
  <c r="H18" i="11" s="1"/>
  <c r="H97" i="11"/>
  <c r="H22" i="11" s="1"/>
  <c r="I91" i="11"/>
  <c r="I97" i="11" s="1"/>
  <c r="J11" i="11"/>
  <c r="D67" i="11"/>
  <c r="D18" i="11" s="1"/>
  <c r="J5" i="11"/>
  <c r="H51" i="11"/>
  <c r="H17" i="11" s="1"/>
  <c r="E51" i="11"/>
  <c r="E17" i="11" s="1"/>
  <c r="H44" i="11"/>
  <c r="H16" i="11" s="1"/>
  <c r="F16" i="11"/>
  <c r="C99" i="6"/>
  <c r="C100" i="6"/>
  <c r="C95" i="6"/>
  <c r="C44" i="12"/>
  <c r="D84" i="7"/>
  <c r="H84" i="7" s="1"/>
  <c r="I84" i="7" s="1"/>
  <c r="J84" i="7" s="1"/>
  <c r="C83" i="7"/>
  <c r="F83" i="7" s="1"/>
  <c r="J81" i="7"/>
  <c r="C80" i="7"/>
  <c r="C20" i="7" s="1"/>
  <c r="J78" i="7"/>
  <c r="D76" i="7"/>
  <c r="E76" i="7" s="1"/>
  <c r="F76" i="7" s="1"/>
  <c r="H74" i="7"/>
  <c r="D74" i="7"/>
  <c r="I73" i="7"/>
  <c r="E74" i="7"/>
  <c r="C73" i="7"/>
  <c r="C74" i="7" s="1"/>
  <c r="C64" i="7"/>
  <c r="C69" i="7"/>
  <c r="C70" i="7" s="1"/>
  <c r="C62" i="7"/>
  <c r="C61" i="7"/>
  <c r="C60" i="7"/>
  <c r="H59" i="7"/>
  <c r="C54" i="7"/>
  <c r="C17" i="7" s="1"/>
  <c r="C53" i="7"/>
  <c r="C50" i="7"/>
  <c r="C49" i="7"/>
  <c r="C48" i="7"/>
  <c r="C46" i="7"/>
  <c r="C41" i="7"/>
  <c r="H41" i="7" s="1"/>
  <c r="C39" i="7"/>
  <c r="H39" i="7" s="1"/>
  <c r="C34" i="7"/>
  <c r="C33" i="7"/>
  <c r="C32" i="7"/>
  <c r="C31" i="7"/>
  <c r="C30" i="7"/>
  <c r="C28" i="7"/>
  <c r="C27" i="7"/>
  <c r="C26" i="7"/>
  <c r="C25" i="7"/>
  <c r="C11" i="7"/>
  <c r="C10" i="7"/>
  <c r="C9" i="7"/>
  <c r="C8" i="7"/>
  <c r="C6" i="7"/>
  <c r="I168" i="1" l="1"/>
  <c r="E22" i="11"/>
  <c r="F22" i="11" s="1"/>
  <c r="E168" i="1"/>
  <c r="I22" i="11"/>
  <c r="E58" i="1"/>
  <c r="I16" i="11"/>
  <c r="D19" i="7"/>
  <c r="C145" i="1"/>
  <c r="E19" i="7"/>
  <c r="F19" i="7" s="1"/>
  <c r="I145" i="1"/>
  <c r="I74" i="7"/>
  <c r="E145" i="1" s="1"/>
  <c r="I19" i="7"/>
  <c r="F19" i="11"/>
  <c r="I113" i="1"/>
  <c r="F18" i="11"/>
  <c r="I95" i="1"/>
  <c r="C95" i="1"/>
  <c r="F17" i="11"/>
  <c r="I76" i="1"/>
  <c r="I18" i="1"/>
  <c r="H8" i="7"/>
  <c r="I8" i="7" s="1"/>
  <c r="J8" i="7" s="1"/>
  <c r="J47" i="11"/>
  <c r="I51" i="11"/>
  <c r="J13" i="2"/>
  <c r="H40" i="7"/>
  <c r="J40" i="7" s="1"/>
  <c r="I14" i="11"/>
  <c r="L34" i="11" s="1"/>
  <c r="H76" i="7"/>
  <c r="I76" i="7" s="1"/>
  <c r="H83" i="7"/>
  <c r="J83" i="7" s="1"/>
  <c r="C85" i="7"/>
  <c r="J60" i="7"/>
  <c r="H11" i="7"/>
  <c r="J11" i="7" s="1"/>
  <c r="J41" i="7"/>
  <c r="H31" i="7"/>
  <c r="J31" i="7" s="1"/>
  <c r="C19" i="7"/>
  <c r="H25" i="7"/>
  <c r="J25" i="7" s="1"/>
  <c r="C12" i="7"/>
  <c r="J14" i="11"/>
  <c r="J70" i="11"/>
  <c r="J77" i="11" s="1"/>
  <c r="J19" i="11" s="1"/>
  <c r="I77" i="11"/>
  <c r="H23" i="11"/>
  <c r="H25" i="11" s="1"/>
  <c r="J91" i="11"/>
  <c r="J97" i="11" s="1"/>
  <c r="J22" i="11" s="1"/>
  <c r="D23" i="11"/>
  <c r="D25" i="11" s="1"/>
  <c r="J64" i="7"/>
  <c r="H26" i="7"/>
  <c r="J26" i="7" s="1"/>
  <c r="H48" i="7"/>
  <c r="J48" i="7" s="1"/>
  <c r="H30" i="7"/>
  <c r="J30" i="7" s="1"/>
  <c r="C65" i="7"/>
  <c r="H61" i="7"/>
  <c r="J61" i="7" s="1"/>
  <c r="J69" i="7"/>
  <c r="H34" i="7"/>
  <c r="J34" i="7" s="1"/>
  <c r="C55" i="7"/>
  <c r="C16" i="7" s="1"/>
  <c r="H10" i="7"/>
  <c r="J10" i="7" s="1"/>
  <c r="D12" i="7"/>
  <c r="H32" i="7"/>
  <c r="J32" i="7" s="1"/>
  <c r="D42" i="7"/>
  <c r="D15" i="7" s="1"/>
  <c r="H38" i="7"/>
  <c r="H50" i="7"/>
  <c r="J50" i="7" s="1"/>
  <c r="E70" i="7"/>
  <c r="E18" i="7" s="1"/>
  <c r="H82" i="7"/>
  <c r="I82" i="7" s="1"/>
  <c r="J82" i="7" s="1"/>
  <c r="E82" i="7"/>
  <c r="F82" i="7" s="1"/>
  <c r="J39" i="7"/>
  <c r="C35" i="7"/>
  <c r="C14" i="7" s="1"/>
  <c r="H33" i="7"/>
  <c r="J33" i="7" s="1"/>
  <c r="H53" i="7"/>
  <c r="J53" i="7" s="1"/>
  <c r="H47" i="7"/>
  <c r="J47" i="7" s="1"/>
  <c r="J79" i="7"/>
  <c r="H9" i="7"/>
  <c r="J9" i="7" s="1"/>
  <c r="J27" i="7"/>
  <c r="H46" i="7"/>
  <c r="J46" i="7" s="1"/>
  <c r="H49" i="7"/>
  <c r="J49" i="7" s="1"/>
  <c r="H62" i="7"/>
  <c r="J62" i="7" s="1"/>
  <c r="D35" i="7"/>
  <c r="D14" i="7" s="1"/>
  <c r="J73" i="7"/>
  <c r="J19" i="7" s="1"/>
  <c r="C42" i="7"/>
  <c r="C15" i="7" s="1"/>
  <c r="E84" i="7"/>
  <c r="F84" i="7" s="1"/>
  <c r="E76" i="1" l="1"/>
  <c r="I17" i="11"/>
  <c r="I19" i="11"/>
  <c r="E113" i="1"/>
  <c r="C13" i="1"/>
  <c r="F168" i="1"/>
  <c r="F113" i="1"/>
  <c r="E18" i="1"/>
  <c r="F18" i="1"/>
  <c r="F18" i="7"/>
  <c r="I127" i="1"/>
  <c r="C71" i="1"/>
  <c r="C53" i="1"/>
  <c r="C36" i="1"/>
  <c r="F23" i="11"/>
  <c r="F25" i="11" s="1"/>
  <c r="F85" i="7"/>
  <c r="H163" i="1" s="1"/>
  <c r="F12" i="7"/>
  <c r="J76" i="7"/>
  <c r="I85" i="7"/>
  <c r="E23" i="11"/>
  <c r="E25" i="11" s="1"/>
  <c r="J28" i="7"/>
  <c r="J70" i="7"/>
  <c r="I70" i="7"/>
  <c r="D55" i="7"/>
  <c r="D16" i="7" s="1"/>
  <c r="J80" i="7"/>
  <c r="D85" i="7"/>
  <c r="D20" i="7" s="1"/>
  <c r="E85" i="7"/>
  <c r="E20" i="7" s="1"/>
  <c r="J51" i="11"/>
  <c r="J17" i="11" s="1"/>
  <c r="J54" i="11"/>
  <c r="I67" i="11"/>
  <c r="J29" i="11"/>
  <c r="I42" i="7"/>
  <c r="I15" i="7" s="1"/>
  <c r="J38" i="7"/>
  <c r="J42" i="7" s="1"/>
  <c r="J15" i="7" s="1"/>
  <c r="E35" i="7"/>
  <c r="E14" i="7" s="1"/>
  <c r="J74" i="7"/>
  <c r="F145" i="1" s="1"/>
  <c r="E55" i="7"/>
  <c r="E16" i="7" s="1"/>
  <c r="H54" i="7"/>
  <c r="J54" i="7" s="1"/>
  <c r="H35" i="7"/>
  <c r="H14" i="7" s="1"/>
  <c r="E65" i="7"/>
  <c r="E17" i="7" s="1"/>
  <c r="D65" i="7"/>
  <c r="H45" i="7"/>
  <c r="C21" i="7"/>
  <c r="C23" i="7" s="1"/>
  <c r="H42" i="7"/>
  <c r="H15" i="7" s="1"/>
  <c r="J5" i="7"/>
  <c r="E42" i="7"/>
  <c r="E15" i="7" s="1"/>
  <c r="H12" i="7"/>
  <c r="E12" i="7"/>
  <c r="E95" i="1" l="1"/>
  <c r="I18" i="11"/>
  <c r="I18" i="7"/>
  <c r="E127" i="1"/>
  <c r="J18" i="7"/>
  <c r="F127" i="1"/>
  <c r="C108" i="1"/>
  <c r="D17" i="7"/>
  <c r="D21" i="7" s="1"/>
  <c r="D23" i="7" s="1"/>
  <c r="E163" i="1"/>
  <c r="I20" i="7"/>
  <c r="I13" i="1"/>
  <c r="H13" i="1"/>
  <c r="H27" i="1" s="1"/>
  <c r="F76" i="1"/>
  <c r="I36" i="1"/>
  <c r="H36" i="1"/>
  <c r="F20" i="7"/>
  <c r="I163" i="1"/>
  <c r="C163" i="1"/>
  <c r="F17" i="7"/>
  <c r="I108" i="1"/>
  <c r="F16" i="7"/>
  <c r="I90" i="1"/>
  <c r="C90" i="1"/>
  <c r="F15" i="7"/>
  <c r="I71" i="1"/>
  <c r="F71" i="1"/>
  <c r="E71" i="1"/>
  <c r="F14" i="7"/>
  <c r="I53" i="1"/>
  <c r="J44" i="11"/>
  <c r="J16" i="11" s="1"/>
  <c r="J10" i="2"/>
  <c r="H65" i="7"/>
  <c r="H17" i="7" s="1"/>
  <c r="H55" i="7"/>
  <c r="H16" i="7" s="1"/>
  <c r="H85" i="7"/>
  <c r="H20" i="7" s="1"/>
  <c r="J6" i="7"/>
  <c r="J12" i="7" s="1"/>
  <c r="I23" i="11"/>
  <c r="I25" i="11" s="1"/>
  <c r="J67" i="11"/>
  <c r="J18" i="11" s="1"/>
  <c r="J45" i="7"/>
  <c r="I55" i="7"/>
  <c r="I65" i="7"/>
  <c r="J35" i="7"/>
  <c r="J14" i="7" s="1"/>
  <c r="I35" i="7"/>
  <c r="I14" i="7" s="1"/>
  <c r="E21" i="7"/>
  <c r="E23" i="7" s="1"/>
  <c r="E108" i="1" l="1"/>
  <c r="I17" i="7"/>
  <c r="I16" i="7"/>
  <c r="E90" i="1"/>
  <c r="F21" i="7"/>
  <c r="F23" i="7" s="1"/>
  <c r="F13" i="1"/>
  <c r="F95" i="1"/>
  <c r="E36" i="1"/>
  <c r="F58" i="1"/>
  <c r="E53" i="1"/>
  <c r="F53" i="1"/>
  <c r="C31" i="1"/>
  <c r="I31" i="1"/>
  <c r="J23" i="11"/>
  <c r="J25" i="11" s="1"/>
  <c r="J65" i="7"/>
  <c r="J17" i="7" s="1"/>
  <c r="J55" i="7"/>
  <c r="J16" i="7" s="1"/>
  <c r="H21" i="7"/>
  <c r="I12" i="7"/>
  <c r="L28" i="7" s="1"/>
  <c r="H31" i="1" l="1"/>
  <c r="E13" i="1"/>
  <c r="F36" i="1"/>
  <c r="F90" i="1"/>
  <c r="F108" i="1"/>
  <c r="J85" i="7"/>
  <c r="J20" i="7" s="1"/>
  <c r="I21" i="7"/>
  <c r="I23" i="7" s="1"/>
  <c r="C68" i="12"/>
  <c r="C20" i="12" s="1"/>
  <c r="D65" i="12"/>
  <c r="E65" i="12" s="1"/>
  <c r="D64" i="12"/>
  <c r="C61" i="12"/>
  <c r="C19" i="12" s="1"/>
  <c r="C60" i="12"/>
  <c r="C46" i="12"/>
  <c r="C45" i="12"/>
  <c r="C48" i="12" s="1"/>
  <c r="C38" i="12"/>
  <c r="C37" i="12"/>
  <c r="C36" i="12"/>
  <c r="C35" i="12"/>
  <c r="C34" i="12"/>
  <c r="C32" i="12"/>
  <c r="C30" i="12"/>
  <c r="C29" i="12"/>
  <c r="C26" i="12"/>
  <c r="C25" i="12"/>
  <c r="C14" i="12"/>
  <c r="C12" i="12"/>
  <c r="C10" i="12"/>
  <c r="C9" i="12"/>
  <c r="C7" i="12"/>
  <c r="C5" i="12"/>
  <c r="F39" i="12" l="1"/>
  <c r="H55" i="1" s="1"/>
  <c r="H67" i="1" s="1"/>
  <c r="J21" i="7"/>
  <c r="J23" i="7" s="1"/>
  <c r="F163" i="1"/>
  <c r="E31" i="1"/>
  <c r="D68" i="12"/>
  <c r="C15" i="12"/>
  <c r="C39" i="12"/>
  <c r="C17" i="12" s="1"/>
  <c r="F58" i="12"/>
  <c r="C49" i="12"/>
  <c r="C18" i="12" s="1"/>
  <c r="D39" i="12"/>
  <c r="D17" i="12" s="1"/>
  <c r="F54" i="12"/>
  <c r="E64" i="12"/>
  <c r="C62" i="12"/>
  <c r="F31" i="1" l="1"/>
  <c r="D20" i="12"/>
  <c r="C165" i="1"/>
  <c r="F53" i="12"/>
  <c r="F62" i="12" s="1"/>
  <c r="H110" i="1" s="1"/>
  <c r="H122" i="1" s="1"/>
  <c r="F48" i="12"/>
  <c r="C55" i="1"/>
  <c r="E68" i="12"/>
  <c r="I165" i="1" s="1"/>
  <c r="C21" i="12"/>
  <c r="C23" i="12" s="1"/>
  <c r="D62" i="12"/>
  <c r="D19" i="12" s="1"/>
  <c r="E62" i="12"/>
  <c r="E19" i="12" s="1"/>
  <c r="F19" i="12" s="1"/>
  <c r="D49" i="12"/>
  <c r="D18" i="12" s="1"/>
  <c r="D15" i="12"/>
  <c r="E39" i="12"/>
  <c r="E17" i="12" s="1"/>
  <c r="F17" i="12" s="1"/>
  <c r="F49" i="12" l="1"/>
  <c r="H92" i="1" s="1"/>
  <c r="H104" i="1" s="1"/>
  <c r="L48" i="12"/>
  <c r="I110" i="1"/>
  <c r="C110" i="1"/>
  <c r="C92" i="1"/>
  <c r="I55" i="1"/>
  <c r="C15" i="1"/>
  <c r="D21" i="12"/>
  <c r="E49" i="12"/>
  <c r="E15" i="12"/>
  <c r="C33" i="1" l="1"/>
  <c r="D23" i="12"/>
  <c r="I92" i="1"/>
  <c r="E18" i="12"/>
  <c r="F18" i="12" s="1"/>
  <c r="I15" i="1"/>
  <c r="E21" i="12" l="1"/>
  <c r="E23" i="12" s="1"/>
  <c r="F21" i="12"/>
  <c r="F23" i="12" s="1"/>
  <c r="D77" i="8"/>
  <c r="C76" i="8"/>
  <c r="G75" i="8"/>
  <c r="E73" i="8"/>
  <c r="G73" i="8" s="1"/>
  <c r="D69" i="8"/>
  <c r="D17" i="8" s="1"/>
  <c r="I69" i="8"/>
  <c r="E144" i="1" s="1"/>
  <c r="E69" i="8"/>
  <c r="E17" i="8" s="1"/>
  <c r="C68" i="8"/>
  <c r="C69" i="8" s="1"/>
  <c r="C17" i="8" s="1"/>
  <c r="C64" i="8"/>
  <c r="C62" i="8"/>
  <c r="C61" i="8"/>
  <c r="C59" i="8"/>
  <c r="F59" i="8" s="1"/>
  <c r="C54" i="8"/>
  <c r="C53" i="8"/>
  <c r="C49" i="8"/>
  <c r="C48" i="8"/>
  <c r="C47" i="8"/>
  <c r="C46" i="8"/>
  <c r="C45" i="8"/>
  <c r="C44" i="8"/>
  <c r="C40" i="8"/>
  <c r="C38" i="8"/>
  <c r="C33" i="8"/>
  <c r="C32" i="8"/>
  <c r="C31" i="8"/>
  <c r="C30" i="8"/>
  <c r="C29" i="8"/>
  <c r="C28" i="8"/>
  <c r="F27" i="8"/>
  <c r="C26" i="8"/>
  <c r="C25" i="8"/>
  <c r="C24" i="8"/>
  <c r="C23" i="8"/>
  <c r="C10" i="8"/>
  <c r="C9" i="8"/>
  <c r="C8" i="8"/>
  <c r="C7" i="8"/>
  <c r="C5" i="8"/>
  <c r="H33" i="1" l="1"/>
  <c r="I33" i="1"/>
  <c r="C144" i="1"/>
  <c r="I144" i="1"/>
  <c r="G17" i="8"/>
  <c r="J17" i="8"/>
  <c r="C34" i="8"/>
  <c r="C13" i="8" s="1"/>
  <c r="J68" i="8"/>
  <c r="J69" i="8" s="1"/>
  <c r="F144" i="1" s="1"/>
  <c r="F75" i="8"/>
  <c r="G72" i="8"/>
  <c r="C80" i="8"/>
  <c r="C18" i="8" s="1"/>
  <c r="C11" i="8"/>
  <c r="J26" i="8"/>
  <c r="D41" i="8"/>
  <c r="D14" i="8" s="1"/>
  <c r="F48" i="8"/>
  <c r="J48" i="8" s="1"/>
  <c r="J64" i="8"/>
  <c r="F76" i="8"/>
  <c r="I76" i="8" s="1"/>
  <c r="J76" i="8" s="1"/>
  <c r="J38" i="8"/>
  <c r="F49" i="8"/>
  <c r="J49" i="8" s="1"/>
  <c r="F28" i="8"/>
  <c r="J28" i="8" s="1"/>
  <c r="J39" i="8"/>
  <c r="F53" i="8"/>
  <c r="J53" i="8" s="1"/>
  <c r="F62" i="8"/>
  <c r="J62" i="8" s="1"/>
  <c r="F29" i="8"/>
  <c r="J29" i="8" s="1"/>
  <c r="J40" i="8"/>
  <c r="F54" i="8"/>
  <c r="J54" i="8" s="1"/>
  <c r="F30" i="8"/>
  <c r="J30" i="8" s="1"/>
  <c r="F44" i="8"/>
  <c r="D55" i="8"/>
  <c r="D15" i="8" s="1"/>
  <c r="D65" i="8"/>
  <c r="D16" i="8" s="1"/>
  <c r="F31" i="8"/>
  <c r="J31" i="8" s="1"/>
  <c r="F45" i="8"/>
  <c r="J45" i="8" s="1"/>
  <c r="J59" i="8"/>
  <c r="D80" i="8"/>
  <c r="D18" i="8" s="1"/>
  <c r="F24" i="8"/>
  <c r="J24" i="8" s="1"/>
  <c r="F32" i="8"/>
  <c r="J32" i="8" s="1"/>
  <c r="F46" i="8"/>
  <c r="J46" i="8" s="1"/>
  <c r="J60" i="8"/>
  <c r="F25" i="8"/>
  <c r="J25" i="8" s="1"/>
  <c r="F33" i="8"/>
  <c r="J33" i="8" s="1"/>
  <c r="F47" i="8"/>
  <c r="J47" i="8" s="1"/>
  <c r="F61" i="8"/>
  <c r="J61" i="8" s="1"/>
  <c r="C41" i="8"/>
  <c r="C14" i="8" s="1"/>
  <c r="C55" i="8"/>
  <c r="C15" i="8" s="1"/>
  <c r="C65" i="8"/>
  <c r="C16" i="8" s="1"/>
  <c r="J73" i="8"/>
  <c r="E77" i="8"/>
  <c r="J74" i="8"/>
  <c r="F77" i="8"/>
  <c r="I77" i="8" s="1"/>
  <c r="J77" i="8" s="1"/>
  <c r="C162" i="1" l="1"/>
  <c r="C107" i="1"/>
  <c r="F15" i="8"/>
  <c r="C89" i="1"/>
  <c r="C70" i="1"/>
  <c r="J75" i="8"/>
  <c r="F80" i="8"/>
  <c r="I80" i="8"/>
  <c r="I18" i="8" s="1"/>
  <c r="J27" i="8"/>
  <c r="C19" i="8"/>
  <c r="C21" i="8" s="1"/>
  <c r="E80" i="8"/>
  <c r="E18" i="8" s="1"/>
  <c r="F11" i="8"/>
  <c r="E11" i="8"/>
  <c r="I55" i="8"/>
  <c r="I15" i="8" s="1"/>
  <c r="J44" i="8"/>
  <c r="J55" i="8" s="1"/>
  <c r="F89" i="1" s="1"/>
  <c r="F55" i="8"/>
  <c r="D34" i="8"/>
  <c r="D13" i="8" s="1"/>
  <c r="F23" i="8"/>
  <c r="F34" i="8" s="1"/>
  <c r="F13" i="8" s="1"/>
  <c r="E34" i="8"/>
  <c r="E13" i="8" s="1"/>
  <c r="F65" i="8"/>
  <c r="F16" i="8" s="1"/>
  <c r="F41" i="8"/>
  <c r="F14" i="8" s="1"/>
  <c r="E41" i="8"/>
  <c r="E14" i="8" s="1"/>
  <c r="E55" i="8"/>
  <c r="E15" i="8" s="1"/>
  <c r="E65" i="8"/>
  <c r="E16" i="8" s="1"/>
  <c r="J72" i="8"/>
  <c r="J80" i="8" l="1"/>
  <c r="J18" i="8" s="1"/>
  <c r="I12" i="1"/>
  <c r="C12" i="1"/>
  <c r="E162" i="1"/>
  <c r="G16" i="8"/>
  <c r="I107" i="1"/>
  <c r="G15" i="8"/>
  <c r="I89" i="1"/>
  <c r="J15" i="8"/>
  <c r="E89" i="1"/>
  <c r="G18" i="8"/>
  <c r="I162" i="1"/>
  <c r="G14" i="8"/>
  <c r="I70" i="1"/>
  <c r="G13" i="8"/>
  <c r="I52" i="1"/>
  <c r="D19" i="8"/>
  <c r="D21" i="8" s="1"/>
  <c r="C52" i="1"/>
  <c r="I65" i="8"/>
  <c r="I16" i="8" s="1"/>
  <c r="J58" i="8"/>
  <c r="J65" i="8" s="1"/>
  <c r="F107" i="1" s="1"/>
  <c r="J37" i="8"/>
  <c r="J41" i="8" s="1"/>
  <c r="F70" i="1" s="1"/>
  <c r="I41" i="8"/>
  <c r="I14" i="8" s="1"/>
  <c r="F19" i="8"/>
  <c r="F21" i="8" s="1"/>
  <c r="F162" i="1" l="1"/>
  <c r="C30" i="1"/>
  <c r="G19" i="8"/>
  <c r="G21" i="8" s="1"/>
  <c r="J16" i="8"/>
  <c r="E107" i="1"/>
  <c r="J14" i="8"/>
  <c r="E70" i="1"/>
  <c r="E19" i="8"/>
  <c r="E21" i="8" s="1"/>
  <c r="J15" i="2"/>
  <c r="J23" i="8"/>
  <c r="J34" i="8" s="1"/>
  <c r="F52" i="1" s="1"/>
  <c r="I34" i="8"/>
  <c r="I13" i="8" s="1"/>
  <c r="J11" i="8"/>
  <c r="I11" i="8"/>
  <c r="L27" i="8" s="1"/>
  <c r="H30" i="1" l="1"/>
  <c r="E12" i="1"/>
  <c r="F12" i="1"/>
  <c r="I30" i="1"/>
  <c r="I19" i="8"/>
  <c r="I21" i="8" s="1"/>
  <c r="E52" i="1"/>
  <c r="J13" i="8"/>
  <c r="J19" i="8" s="1"/>
  <c r="J21" i="8" s="1"/>
  <c r="C86" i="6"/>
  <c r="C101" i="6" s="1"/>
  <c r="C26" i="6" s="1"/>
  <c r="C91" i="6"/>
  <c r="C25" i="6" s="1"/>
  <c r="C75" i="6"/>
  <c r="C81" i="6"/>
  <c r="C85" i="6"/>
  <c r="C79" i="6"/>
  <c r="C78" i="6"/>
  <c r="C71" i="6"/>
  <c r="C70" i="6"/>
  <c r="C66" i="6"/>
  <c r="C65" i="6"/>
  <c r="C62" i="6"/>
  <c r="C61" i="6"/>
  <c r="C60" i="6"/>
  <c r="C59" i="6"/>
  <c r="C58" i="6"/>
  <c r="C57" i="6"/>
  <c r="C53" i="6"/>
  <c r="C51" i="6"/>
  <c r="C46" i="6"/>
  <c r="C44" i="6"/>
  <c r="C43" i="6"/>
  <c r="C41" i="6"/>
  <c r="C40" i="6"/>
  <c r="C38" i="6"/>
  <c r="C87" i="6" l="1"/>
  <c r="C24" i="6" s="1"/>
  <c r="E30" i="1"/>
  <c r="F30" i="1"/>
  <c r="C72" i="6"/>
  <c r="C22" i="6" s="1"/>
  <c r="C82" i="6"/>
  <c r="C23" i="6" s="1"/>
  <c r="C54" i="6"/>
  <c r="C21" i="6" s="1"/>
  <c r="C35" i="6"/>
  <c r="H35" i="6" s="1"/>
  <c r="J35" i="6" s="1"/>
  <c r="C34" i="6"/>
  <c r="C33" i="6"/>
  <c r="C32" i="6"/>
  <c r="C31" i="6"/>
  <c r="D93" i="6"/>
  <c r="D87" i="6"/>
  <c r="D24" i="6" s="1"/>
  <c r="H79" i="6"/>
  <c r="J71" i="6"/>
  <c r="H66" i="6"/>
  <c r="J66" i="6" s="1"/>
  <c r="H59" i="6"/>
  <c r="J59" i="6" s="1"/>
  <c r="J58" i="6"/>
  <c r="H53" i="6"/>
  <c r="H50" i="6"/>
  <c r="H46" i="6"/>
  <c r="J46" i="6" s="1"/>
  <c r="J45" i="6"/>
  <c r="J44" i="6"/>
  <c r="J39" i="6"/>
  <c r="H38" i="6"/>
  <c r="J38" i="6" s="1"/>
  <c r="C13" i="6"/>
  <c r="C10" i="6"/>
  <c r="C17" i="6"/>
  <c r="J17" i="6" s="1"/>
  <c r="C12" i="6"/>
  <c r="J12" i="6" s="1"/>
  <c r="C9" i="6"/>
  <c r="C6" i="6"/>
  <c r="F101" i="6" l="1"/>
  <c r="H166" i="1" s="1"/>
  <c r="H177" i="1" s="1"/>
  <c r="H185" i="1" s="1"/>
  <c r="C130" i="1"/>
  <c r="C141" i="1" s="1"/>
  <c r="H52" i="6"/>
  <c r="J11" i="6"/>
  <c r="D101" i="6"/>
  <c r="D26" i="6" s="1"/>
  <c r="H93" i="6"/>
  <c r="E91" i="6"/>
  <c r="E25" i="6" s="1"/>
  <c r="D91" i="6"/>
  <c r="D25" i="6" s="1"/>
  <c r="D82" i="6"/>
  <c r="D72" i="6"/>
  <c r="D22" i="6" s="1"/>
  <c r="J76" i="6"/>
  <c r="H60" i="6"/>
  <c r="C47" i="6"/>
  <c r="C20" i="6" s="1"/>
  <c r="C27" i="6" s="1"/>
  <c r="H96" i="6"/>
  <c r="J96" i="6" s="1"/>
  <c r="J53" i="6"/>
  <c r="H62" i="6"/>
  <c r="J62" i="6" s="1"/>
  <c r="H100" i="6"/>
  <c r="J100" i="6" s="1"/>
  <c r="D54" i="6"/>
  <c r="D21" i="6" s="1"/>
  <c r="J81" i="6"/>
  <c r="F190" i="1" s="1"/>
  <c r="H70" i="6"/>
  <c r="J70" i="6" s="1"/>
  <c r="H41" i="6"/>
  <c r="J41" i="6" s="1"/>
  <c r="H37" i="6"/>
  <c r="H33" i="6"/>
  <c r="J33" i="6" s="1"/>
  <c r="D47" i="6"/>
  <c r="D20" i="6" s="1"/>
  <c r="J79" i="6"/>
  <c r="H32" i="6"/>
  <c r="J32" i="6" s="1"/>
  <c r="H42" i="6"/>
  <c r="J42" i="6" s="1"/>
  <c r="J97" i="6"/>
  <c r="J52" i="6"/>
  <c r="J99" i="6"/>
  <c r="J78" i="6"/>
  <c r="E93" i="6"/>
  <c r="H34" i="6"/>
  <c r="J34" i="6" s="1"/>
  <c r="H43" i="6"/>
  <c r="J43" i="6" s="1"/>
  <c r="J65" i="6"/>
  <c r="J77" i="6"/>
  <c r="J86" i="6"/>
  <c r="H40" i="6"/>
  <c r="J40" i="6" s="1"/>
  <c r="J51" i="6"/>
  <c r="H61" i="6"/>
  <c r="J61" i="6" s="1"/>
  <c r="J98" i="6"/>
  <c r="J14" i="6"/>
  <c r="C18" i="6"/>
  <c r="J13" i="6"/>
  <c r="J10" i="6"/>
  <c r="H187" i="1" l="1"/>
  <c r="H192" i="1" s="1"/>
  <c r="C111" i="1"/>
  <c r="C122" i="1" s="1"/>
  <c r="D23" i="6"/>
  <c r="C29" i="6"/>
  <c r="F25" i="6"/>
  <c r="I148" i="1"/>
  <c r="I159" i="1" s="1"/>
  <c r="C148" i="1"/>
  <c r="C159" i="1" s="1"/>
  <c r="C166" i="1"/>
  <c r="C177" i="1" s="1"/>
  <c r="C93" i="1"/>
  <c r="C104" i="1" s="1"/>
  <c r="C74" i="1"/>
  <c r="C85" i="1" s="1"/>
  <c r="C56" i="1"/>
  <c r="C67" i="1" s="1"/>
  <c r="J37" i="6"/>
  <c r="E87" i="6"/>
  <c r="E24" i="6" s="1"/>
  <c r="H87" i="6"/>
  <c r="H24" i="6" s="1"/>
  <c r="E101" i="6"/>
  <c r="E26" i="6" s="1"/>
  <c r="H101" i="6"/>
  <c r="H26" i="6" s="1"/>
  <c r="H82" i="6"/>
  <c r="H23" i="6" s="1"/>
  <c r="I93" i="6"/>
  <c r="J93" i="6" s="1"/>
  <c r="I90" i="6"/>
  <c r="H91" i="6"/>
  <c r="H25" i="6" s="1"/>
  <c r="J75" i="6"/>
  <c r="I82" i="6"/>
  <c r="H72" i="6"/>
  <c r="H22" i="6" s="1"/>
  <c r="J57" i="6"/>
  <c r="E72" i="6"/>
  <c r="E22" i="6" s="1"/>
  <c r="E82" i="6"/>
  <c r="E23" i="6" s="1"/>
  <c r="J60" i="6"/>
  <c r="H54" i="6"/>
  <c r="H21" i="6" s="1"/>
  <c r="E54" i="6"/>
  <c r="E21" i="6" s="1"/>
  <c r="E47" i="6"/>
  <c r="E20" i="6" s="1"/>
  <c r="H47" i="6"/>
  <c r="H20" i="6" s="1"/>
  <c r="I72" i="6"/>
  <c r="H9" i="6"/>
  <c r="J9" i="6" s="1"/>
  <c r="E111" i="1" l="1"/>
  <c r="E122" i="1" s="1"/>
  <c r="I23" i="6"/>
  <c r="E93" i="1"/>
  <c r="E104" i="1" s="1"/>
  <c r="I22" i="6"/>
  <c r="D27" i="6"/>
  <c r="D29" i="6" s="1"/>
  <c r="C185" i="1"/>
  <c r="F26" i="6"/>
  <c r="I166" i="1"/>
  <c r="I177" i="1" s="1"/>
  <c r="F24" i="6"/>
  <c r="I130" i="1"/>
  <c r="I141" i="1" s="1"/>
  <c r="F23" i="6"/>
  <c r="I111" i="1"/>
  <c r="I122" i="1" s="1"/>
  <c r="F22" i="6"/>
  <c r="I93" i="1"/>
  <c r="I104" i="1" s="1"/>
  <c r="F21" i="6"/>
  <c r="I74" i="1"/>
  <c r="I85" i="1" s="1"/>
  <c r="F20" i="6"/>
  <c r="I56" i="1"/>
  <c r="I67" i="1" s="1"/>
  <c r="H18" i="6"/>
  <c r="E27" i="2"/>
  <c r="E36" i="2" s="1"/>
  <c r="D27" i="2"/>
  <c r="D36" i="2" s="1"/>
  <c r="J85" i="6"/>
  <c r="J87" i="6" s="1"/>
  <c r="J24" i="6" s="1"/>
  <c r="I87" i="6"/>
  <c r="I24" i="6" s="1"/>
  <c r="J95" i="6"/>
  <c r="I101" i="6"/>
  <c r="I26" i="6" s="1"/>
  <c r="J82" i="6"/>
  <c r="J23" i="6" s="1"/>
  <c r="J90" i="6"/>
  <c r="J91" i="6" s="1"/>
  <c r="J25" i="6" s="1"/>
  <c r="I91" i="6"/>
  <c r="I25" i="6" s="1"/>
  <c r="J72" i="6"/>
  <c r="J22" i="6" s="1"/>
  <c r="H27" i="6"/>
  <c r="J50" i="6"/>
  <c r="J54" i="6" s="1"/>
  <c r="J21" i="6" s="1"/>
  <c r="I54" i="6"/>
  <c r="I21" i="6" s="1"/>
  <c r="J31" i="6"/>
  <c r="J47" i="6" s="1"/>
  <c r="J20" i="6" s="1"/>
  <c r="I47" i="6"/>
  <c r="I20" i="6" s="1"/>
  <c r="J6" i="6"/>
  <c r="J18" i="6" s="1"/>
  <c r="I18" i="6"/>
  <c r="L37" i="6" s="1"/>
  <c r="F27" i="6" l="1"/>
  <c r="F29" i="6" s="1"/>
  <c r="E27" i="6"/>
  <c r="E29" i="6" s="1"/>
  <c r="C34" i="1"/>
  <c r="C45" i="1" s="1"/>
  <c r="E130" i="1"/>
  <c r="E141" i="1" s="1"/>
  <c r="F130" i="1"/>
  <c r="F141" i="1" s="1"/>
  <c r="E74" i="1"/>
  <c r="E85" i="1" s="1"/>
  <c r="H29" i="6"/>
  <c r="E16" i="1"/>
  <c r="F16" i="1"/>
  <c r="I185" i="1"/>
  <c r="F74" i="1"/>
  <c r="F85" i="1" s="1"/>
  <c r="E148" i="1"/>
  <c r="E159" i="1" s="1"/>
  <c r="F148" i="1"/>
  <c r="F159" i="1" s="1"/>
  <c r="F111" i="1"/>
  <c r="F122" i="1" s="1"/>
  <c r="E166" i="1"/>
  <c r="E177" i="1" s="1"/>
  <c r="F93" i="1"/>
  <c r="F104" i="1" s="1"/>
  <c r="E56" i="1"/>
  <c r="E67" i="1" s="1"/>
  <c r="F56" i="1"/>
  <c r="F67" i="1" s="1"/>
  <c r="I25" i="1"/>
  <c r="I27" i="1" s="1"/>
  <c r="C25" i="1"/>
  <c r="C27" i="1" s="1"/>
  <c r="C187" i="1" s="1"/>
  <c r="J11" i="2"/>
  <c r="J27" i="2" s="1"/>
  <c r="J36" i="2" s="1"/>
  <c r="I27" i="2"/>
  <c r="I36" i="2" s="1"/>
  <c r="J101" i="6"/>
  <c r="J26" i="6" s="1"/>
  <c r="I187" i="1" l="1"/>
  <c r="I192" i="1" s="1"/>
  <c r="H34" i="1"/>
  <c r="H45" i="1" s="1"/>
  <c r="H46" i="1" s="1"/>
  <c r="I34" i="1"/>
  <c r="I45" i="1" s="1"/>
  <c r="I46" i="1" s="1"/>
  <c r="I27" i="6"/>
  <c r="I29" i="6" s="1"/>
  <c r="E185" i="1"/>
  <c r="J27" i="6"/>
  <c r="J29" i="6" s="1"/>
  <c r="F166" i="1"/>
  <c r="F177" i="1" s="1"/>
  <c r="F185" i="1" s="1"/>
  <c r="E25" i="1"/>
  <c r="E27" i="1" s="1"/>
  <c r="F25" i="1"/>
  <c r="F27" i="1" s="1"/>
  <c r="C46" i="1"/>
  <c r="C192" i="1"/>
  <c r="E187" i="1" l="1"/>
  <c r="E192" i="1" s="1"/>
  <c r="F187" i="1"/>
  <c r="F192" i="1" s="1"/>
  <c r="F34" i="1"/>
  <c r="F45" i="1" s="1"/>
  <c r="F46" i="1" s="1"/>
  <c r="E34" i="1"/>
  <c r="E45" i="1" s="1"/>
  <c r="E46" i="1" s="1"/>
</calcChain>
</file>

<file path=xl/sharedStrings.xml><?xml version="1.0" encoding="utf-8"?>
<sst xmlns="http://schemas.openxmlformats.org/spreadsheetml/2006/main" count="2468" uniqueCount="668">
  <si>
    <t>G/L Account Code</t>
  </si>
  <si>
    <t>Account Description</t>
  </si>
  <si>
    <t>Type</t>
  </si>
  <si>
    <t>Dept</t>
  </si>
  <si>
    <t>Begin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</si>
  <si>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</si>
  <si>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</si>
  <si>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</si>
  <si>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</si>
  <si>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</si>
  <si>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</si>
  <si>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</si>
  <si>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</si>
  <si>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</si>
  <si>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</si>
  <si>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</si>
  <si>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</si>
  <si>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</t>
  </si>
  <si>
    <t>Ending Post Period</t>
  </si>
  <si>
    <t>Title</t>
  </si>
  <si>
    <t>Allowance for Bad Debts</t>
  </si>
  <si>
    <t>A/R Tenants</t>
  </si>
  <si>
    <t>A/R Other</t>
  </si>
  <si>
    <t>Tenant &amp; Pet Security Deposit</t>
  </si>
  <si>
    <t>Cash Repl Reserves</t>
  </si>
  <si>
    <t>Building Improvements</t>
  </si>
  <si>
    <t>Furnishings</t>
  </si>
  <si>
    <t>A/P General Fund</t>
  </si>
  <si>
    <t>A/P Trade</t>
  </si>
  <si>
    <t>A/P Management Fee</t>
  </si>
  <si>
    <t>Tenant Security Deposits</t>
  </si>
  <si>
    <t>Accumulated Depreciation</t>
  </si>
  <si>
    <t>Profit or Loss Account</t>
  </si>
  <si>
    <t>Rental Income</t>
  </si>
  <si>
    <t>Vacancies</t>
  </si>
  <si>
    <t>Interest Income</t>
  </si>
  <si>
    <t>Laundry Income</t>
  </si>
  <si>
    <t>NSF &amp; Late Charges</t>
  </si>
  <si>
    <t>Advertising</t>
  </si>
  <si>
    <t>Office Salaries</t>
  </si>
  <si>
    <t>Office Supplies</t>
  </si>
  <si>
    <t>Postage</t>
  </si>
  <si>
    <t>Payroll Taxes</t>
  </si>
  <si>
    <t>Audit Expenses</t>
  </si>
  <si>
    <t>Telephone</t>
  </si>
  <si>
    <t>Computer Expense</t>
  </si>
  <si>
    <t>Travel &amp; Training</t>
  </si>
  <si>
    <t>Water</t>
  </si>
  <si>
    <t>Gas</t>
  </si>
  <si>
    <t>Sewer</t>
  </si>
  <si>
    <t>Cleaning Supplies</t>
  </si>
  <si>
    <t>Cleaning Contract</t>
  </si>
  <si>
    <t>Pest Control</t>
  </si>
  <si>
    <t>Trash Removal</t>
  </si>
  <si>
    <t>Grounds</t>
  </si>
  <si>
    <t>Repair Contract</t>
  </si>
  <si>
    <t>Repair Payroll</t>
  </si>
  <si>
    <t>Snow Removal</t>
  </si>
  <si>
    <t>Extraordinary Maint</t>
  </si>
  <si>
    <t>Employee Benefits</t>
  </si>
  <si>
    <t>Collection Loss</t>
  </si>
  <si>
    <t>Bad Debt Loss</t>
  </si>
  <si>
    <t>Depreciation Expense</t>
  </si>
  <si>
    <t>Replacement Reserves</t>
  </si>
  <si>
    <t>Furniture</t>
  </si>
  <si>
    <t>Misc Fixed Assets</t>
  </si>
  <si>
    <t>Asset</t>
  </si>
  <si>
    <t>Liability</t>
  </si>
  <si>
    <t>Income</t>
  </si>
  <si>
    <t>Expense</t>
  </si>
  <si>
    <t>Loss on Disposal Fixed Asset</t>
  </si>
  <si>
    <t>SUMMARY</t>
  </si>
  <si>
    <t>Count</t>
  </si>
  <si>
    <t>Sum</t>
  </si>
  <si>
    <t>Mgmt Fee</t>
  </si>
  <si>
    <t>Total Operating Receipts</t>
  </si>
  <si>
    <t>Administrative</t>
  </si>
  <si>
    <t>General</t>
  </si>
  <si>
    <t>Reserves</t>
  </si>
  <si>
    <t>Capital Items</t>
  </si>
  <si>
    <t>Total Operating Expense</t>
  </si>
  <si>
    <t>Total Administrative</t>
  </si>
  <si>
    <t>Total Utility Expense</t>
  </si>
  <si>
    <t>Utilities</t>
  </si>
  <si>
    <t>Total Maintenance</t>
  </si>
  <si>
    <t>Total General Expenses</t>
  </si>
  <si>
    <t>Total Reserves</t>
  </si>
  <si>
    <t>Total Fixed Assets</t>
  </si>
  <si>
    <t>Maintenance</t>
  </si>
  <si>
    <t>01-900-0-1110.000</t>
  </si>
  <si>
    <t>01-900-0-1120.000</t>
  </si>
  <si>
    <t>01-900-0-1129.000</t>
  </si>
  <si>
    <t>01-900-0-1130.000</t>
  </si>
  <si>
    <t>01-900-0-1140.000</t>
  </si>
  <si>
    <t>01-900-0-1147.000</t>
  </si>
  <si>
    <t>01-900-0-1191.000</t>
  </si>
  <si>
    <t>01-900-0-1290.000</t>
  </si>
  <si>
    <t>01-900-0-1320.000</t>
  </si>
  <si>
    <t>01-900-0-1410.000</t>
  </si>
  <si>
    <t>01-900-0-1420.000</t>
  </si>
  <si>
    <t>01-900-0-1425.000</t>
  </si>
  <si>
    <t>01-900-0-1430.000</t>
  </si>
  <si>
    <t>01-900-0-1440.000</t>
  </si>
  <si>
    <t>01-900-0-1440.010</t>
  </si>
  <si>
    <t>01-900-0-1450.000</t>
  </si>
  <si>
    <t>01-900-0-1460.000</t>
  </si>
  <si>
    <t>01-900-0-1490.000</t>
  </si>
  <si>
    <t>01-900-0-2110.010</t>
  </si>
  <si>
    <t>01-900-0-2111.000</t>
  </si>
  <si>
    <t>01-900-0-2190.000</t>
  </si>
  <si>
    <t>01-900-0-2191.000</t>
  </si>
  <si>
    <t>01-900-0-2192.000</t>
  </si>
  <si>
    <t>01-900-0-2210.000</t>
  </si>
  <si>
    <t>01-900-0-2220.000</t>
  </si>
  <si>
    <t>01-900-0-2320.000</t>
  </si>
  <si>
    <t>01-900-0-2410.000</t>
  </si>
  <si>
    <t>01-900-0-2412.000</t>
  </si>
  <si>
    <t>01-900-0-2413.000</t>
  </si>
  <si>
    <t>01-900-0-2414.000</t>
  </si>
  <si>
    <t>01-900-0-2416.000</t>
  </si>
  <si>
    <t>01-900-0-2419.000</t>
  </si>
  <si>
    <t>01-900-0-2700.000</t>
  </si>
  <si>
    <t>01-900-0-2850.000</t>
  </si>
  <si>
    <t>01-900-0-3250.000</t>
  </si>
  <si>
    <t>01-900-0-3290.000</t>
  </si>
  <si>
    <t>01-900-1-5120.000</t>
  </si>
  <si>
    <t>01-900-1-5120.100</t>
  </si>
  <si>
    <t>01-900-1-5122.000</t>
  </si>
  <si>
    <t>01-900-1-5220.000</t>
  </si>
  <si>
    <t>01-900-1-5410.000</t>
  </si>
  <si>
    <t>01-900-1-5440.000</t>
  </si>
  <si>
    <t>01-900-1-5910.000</t>
  </si>
  <si>
    <t>01-900-1-5920.000</t>
  </si>
  <si>
    <t>01-900-1-5930.000</t>
  </si>
  <si>
    <t>01-900-1-5990.000</t>
  </si>
  <si>
    <t>01-900-1-5995.000</t>
  </si>
  <si>
    <t>01-900-1-6210.000</t>
  </si>
  <si>
    <t>01-900-1-6310.000</t>
  </si>
  <si>
    <t>01-900-1-6311.000</t>
  </si>
  <si>
    <t>01-900-1-6313.000</t>
  </si>
  <si>
    <t>01-900-1-6320.000</t>
  </si>
  <si>
    <t>01-900-1-6330.000</t>
  </si>
  <si>
    <t>01-900-1-6340.000</t>
  </si>
  <si>
    <t>01-900-1-6350.000</t>
  </si>
  <si>
    <t>01-900-1-6360.000</t>
  </si>
  <si>
    <t>01-900-1-6370.000</t>
  </si>
  <si>
    <t>01-900-1-6380.000</t>
  </si>
  <si>
    <t>01-900-1-6390.000</t>
  </si>
  <si>
    <t>01-900-1-6390.100</t>
  </si>
  <si>
    <t>01-900-1-6391.000</t>
  </si>
  <si>
    <t>01-900-1-6450.000</t>
  </si>
  <si>
    <t>01-900-1-6451.000</t>
  </si>
  <si>
    <t>01-900-1-6452.000</t>
  </si>
  <si>
    <t>01-900-1-6453.000</t>
  </si>
  <si>
    <t>01-900-1-6515.000</t>
  </si>
  <si>
    <t>01-900-1-6517.000</t>
  </si>
  <si>
    <t>01-900-1-6519.000</t>
  </si>
  <si>
    <t>01-900-1-6525.000</t>
  </si>
  <si>
    <t>01-900-1-6530.000</t>
  </si>
  <si>
    <t>01-900-1-6537.000</t>
  </si>
  <si>
    <t>01-900-1-6540.000</t>
  </si>
  <si>
    <t>01-900-1-6541.000</t>
  </si>
  <si>
    <t>01-900-1-6542.000</t>
  </si>
  <si>
    <t>01-900-1-6543.000</t>
  </si>
  <si>
    <t>01-900-1-6545.000</t>
  </si>
  <si>
    <t>01-900-1-6548.000</t>
  </si>
  <si>
    <t>01-900-1-6590.000</t>
  </si>
  <si>
    <t>01-900-1-6711.000</t>
  </si>
  <si>
    <t>01-900-1-6720.000</t>
  </si>
  <si>
    <t>01-900-1-6723.000</t>
  </si>
  <si>
    <t>01-900-1-6725.000</t>
  </si>
  <si>
    <t>01-900-1-6740.000</t>
  </si>
  <si>
    <t>01-900-1-6742.000</t>
  </si>
  <si>
    <t>01-900-1-6820.000</t>
  </si>
  <si>
    <t>01-900-1-6960.000</t>
  </si>
  <si>
    <t>01-900-5-1320.000</t>
  </si>
  <si>
    <t>01-900-5-1320.010</t>
  </si>
  <si>
    <t>01-900-5-1410.000</t>
  </si>
  <si>
    <t>01-900-5-1425.000</t>
  </si>
  <si>
    <t>01-900-5-1430.000</t>
  </si>
  <si>
    <t>01-900-5-1440.000</t>
  </si>
  <si>
    <t>01-900-5-1450.000</t>
  </si>
  <si>
    <t>01-900-5-1460.000</t>
  </si>
  <si>
    <t>01-900-5-1490.000</t>
  </si>
  <si>
    <t>01-900-5-2320.000</t>
  </si>
  <si>
    <t>01-900-5-5999.000</t>
  </si>
  <si>
    <t>01-900-5-6390.000</t>
  </si>
  <si>
    <t>Petty Cash</t>
  </si>
  <si>
    <t>Cash in Bank Checking</t>
  </si>
  <si>
    <t xml:space="preserve">A/R Energy Outreach Program </t>
  </si>
  <si>
    <t>Prepaid Expenses</t>
  </si>
  <si>
    <t xml:space="preserve">Land </t>
  </si>
  <si>
    <t>Office Building-Caesar Square</t>
  </si>
  <si>
    <t>Bldg Eqpt-Fixed</t>
  </si>
  <si>
    <t>Bldg Eqpt-Portable</t>
  </si>
  <si>
    <t>Bldg Equip Portable-Caesar FIRE</t>
  </si>
  <si>
    <t>Pet Deposit</t>
  </si>
  <si>
    <t>Prepaid Rent</t>
  </si>
  <si>
    <t>Deferred Revenue</t>
  </si>
  <si>
    <t>Mortgage Payable-Building</t>
  </si>
  <si>
    <t>Reserve for Depr-Building</t>
  </si>
  <si>
    <t>Reserve for Depr-Bldg Equip Fixe</t>
  </si>
  <si>
    <t>Reserve for Depr-Bldg Equip Portable</t>
  </si>
  <si>
    <t>Reserve for Depr-Furnishings</t>
  </si>
  <si>
    <t>Reserve for Depr - Misc Fixed Assets</t>
  </si>
  <si>
    <t>Income/Expense Clearing</t>
  </si>
  <si>
    <t>Contribution from Green Ridge</t>
  </si>
  <si>
    <t>Retained Earnings</t>
  </si>
  <si>
    <t>Rent Concessions</t>
  </si>
  <si>
    <t>Utility Income</t>
  </si>
  <si>
    <t>Int Income - Repl Reserves</t>
  </si>
  <si>
    <t>Relet Apartment Income</t>
  </si>
  <si>
    <t>Miscellaneous Income</t>
  </si>
  <si>
    <t>CDBG Revenue</t>
  </si>
  <si>
    <t>Management Fees</t>
  </si>
  <si>
    <t>Managers Salaries</t>
  </si>
  <si>
    <t>Legal Expenses</t>
  </si>
  <si>
    <t>Office Eqpt Maintenance</t>
  </si>
  <si>
    <t>Misc Admin Expen</t>
  </si>
  <si>
    <t>Tenant Functions</t>
  </si>
  <si>
    <t>Electricity</t>
  </si>
  <si>
    <t>Security Contract</t>
  </si>
  <si>
    <t xml:space="preserve">Contract Labor </t>
  </si>
  <si>
    <t>Repair Material</t>
  </si>
  <si>
    <t>Property &amp; Liability Ins</t>
  </si>
  <si>
    <t>Workman's Comp Expense</t>
  </si>
  <si>
    <t>Interest on Mtg Payable</t>
  </si>
  <si>
    <t>Transfer from Reserves</t>
  </si>
  <si>
    <t>Building Equipment-Fixed</t>
  </si>
  <si>
    <t>Building Equipment-Portable</t>
  </si>
  <si>
    <t>Mortgage Payment</t>
  </si>
  <si>
    <t>Cap Contribution from Owner</t>
  </si>
  <si>
    <t>Fixed Assets-Contra</t>
  </si>
  <si>
    <t>Caesar Square</t>
  </si>
  <si>
    <t>01-900-1-6536.000</t>
  </si>
  <si>
    <t>01-900-1-6743.000</t>
  </si>
  <si>
    <t>Ground Supplies</t>
  </si>
  <si>
    <t>Pet Rental Income</t>
  </si>
  <si>
    <t xml:space="preserve">Late Fees </t>
  </si>
  <si>
    <t>Other Income - Misc</t>
  </si>
  <si>
    <t>Operating</t>
  </si>
  <si>
    <t>Manintenance</t>
  </si>
  <si>
    <t>Real Estate/Tenant Svcs</t>
  </si>
  <si>
    <t>Mgmt Fees</t>
  </si>
  <si>
    <t>Legal Expense</t>
  </si>
  <si>
    <t>Misc Admin Expenses</t>
  </si>
  <si>
    <t>Cleaning</t>
  </si>
  <si>
    <t>Extermination</t>
  </si>
  <si>
    <t>Repair Materials</t>
  </si>
  <si>
    <t xml:space="preserve">Repair Payroll </t>
  </si>
  <si>
    <t xml:space="preserve">Snow Removal </t>
  </si>
  <si>
    <t>Insurance</t>
  </si>
  <si>
    <t>Bad Debt loss</t>
  </si>
  <si>
    <t xml:space="preserve">Based on depreciation schedule </t>
  </si>
  <si>
    <t>Land</t>
  </si>
  <si>
    <t xml:space="preserve">Bldg </t>
  </si>
  <si>
    <t xml:space="preserve">Bldg Improvements </t>
  </si>
  <si>
    <t>Bldg Eqpt Fixed</t>
  </si>
  <si>
    <t>Bldg Equipment Portable</t>
  </si>
  <si>
    <t>Misc. Fixed Assets</t>
  </si>
  <si>
    <t>Rehab Interest Income</t>
  </si>
  <si>
    <t>Rehab Loan Income</t>
  </si>
  <si>
    <t>Lkwd Rehab Loan Income</t>
  </si>
  <si>
    <t xml:space="preserve">Westminster HOME Funds </t>
  </si>
  <si>
    <t>Jeffco HOME Inc-FY11</t>
  </si>
  <si>
    <t xml:space="preserve">Loan Servicing Fees </t>
  </si>
  <si>
    <t>Other Revenue</t>
  </si>
  <si>
    <t>Salaries - Lakewood</t>
  </si>
  <si>
    <t>Salaries - Westminster</t>
  </si>
  <si>
    <t>Management Fee</t>
  </si>
  <si>
    <t>Legal</t>
  </si>
  <si>
    <t>Computer Expenses</t>
  </si>
  <si>
    <t xml:space="preserve">Travel &amp; Training </t>
  </si>
  <si>
    <t>Trvl &amp; Trg - Lakewood</t>
  </si>
  <si>
    <t xml:space="preserve">Program Expenses </t>
  </si>
  <si>
    <t>Rehab Exp -CDBG Funds</t>
  </si>
  <si>
    <t>Rehab Exp -Jeffco</t>
  </si>
  <si>
    <t>Rehab Exp - Lakewood</t>
  </si>
  <si>
    <t>Rehab Exp - Jeffco HOME</t>
  </si>
  <si>
    <t>Rehab Exp - Westminster</t>
  </si>
  <si>
    <t>Payroll Tax - Lakewood</t>
  </si>
  <si>
    <t>Payroll Tax - Westminster</t>
  </si>
  <si>
    <t>Benefits - Lakewood</t>
  </si>
  <si>
    <t>Benefits - Westminster</t>
  </si>
  <si>
    <t>Other Income</t>
  </si>
  <si>
    <t xml:space="preserve">Management Fee </t>
  </si>
  <si>
    <t xml:space="preserve">Electricity </t>
  </si>
  <si>
    <t>Workmen's Comp Expense</t>
  </si>
  <si>
    <t>Interest on Mortgage Payable</t>
  </si>
  <si>
    <t>Mortgage Payable</t>
  </si>
  <si>
    <t xml:space="preserve">Land Structure / Building </t>
  </si>
  <si>
    <t>Land Improvements</t>
  </si>
  <si>
    <t>Bldg Equip Fixed</t>
  </si>
  <si>
    <t>Bldg Equip Portable</t>
  </si>
  <si>
    <t xml:space="preserve">Laundry Income </t>
  </si>
  <si>
    <t>Application Fees</t>
  </si>
  <si>
    <t>Financing</t>
  </si>
  <si>
    <t>Dues &amp; Meeting Expenses</t>
  </si>
  <si>
    <t>Copier Management (leases)</t>
  </si>
  <si>
    <t>Manager Salaries</t>
  </si>
  <si>
    <t xml:space="preserve">Office Equip/Maintenance </t>
  </si>
  <si>
    <t>Total Utilities</t>
  </si>
  <si>
    <t>Exterminating Contract</t>
  </si>
  <si>
    <t>Pool Supplies</t>
  </si>
  <si>
    <t>Pool Contract Work</t>
  </si>
  <si>
    <t>Ground Contract</t>
  </si>
  <si>
    <t>Prop &amp; Liability Insurance</t>
  </si>
  <si>
    <t>Interest Expense</t>
  </si>
  <si>
    <t>Total Finance Expense</t>
  </si>
  <si>
    <t>Repl Reserves</t>
  </si>
  <si>
    <t>Land &amp; Improvements</t>
  </si>
  <si>
    <t>Building</t>
  </si>
  <si>
    <t>Building Eqpt - Fixed</t>
  </si>
  <si>
    <t>Bldg Eqpt - Portable</t>
  </si>
  <si>
    <t>Total Capital Items</t>
  </si>
  <si>
    <t xml:space="preserve">Rental Income </t>
  </si>
  <si>
    <t>Tranfer from Reserves</t>
  </si>
  <si>
    <t>Dues &amp; Meeting Exp</t>
  </si>
  <si>
    <t>Prop &amp; Liab Insurance</t>
  </si>
  <si>
    <t>Seal Coat</t>
  </si>
  <si>
    <t>Bldg Eqpt - Fixed</t>
  </si>
  <si>
    <t>Bldg Eqpt  - Portable</t>
  </si>
  <si>
    <t>Tenant Assistance Payments</t>
  </si>
  <si>
    <t>Int Income-Residual Receipts</t>
  </si>
  <si>
    <t>Int Income-Repl Reserves</t>
  </si>
  <si>
    <t>Interest Income-Operating</t>
  </si>
  <si>
    <t xml:space="preserve">Office Supplies </t>
  </si>
  <si>
    <t>Copier Management(leases)</t>
  </si>
  <si>
    <t xml:space="preserve">Manager Salaries </t>
  </si>
  <si>
    <t>Legal (GR)</t>
  </si>
  <si>
    <t xml:space="preserve">Audit Expense </t>
  </si>
  <si>
    <t>Internet Service</t>
  </si>
  <si>
    <t>Office Equipment Maint.</t>
  </si>
  <si>
    <t xml:space="preserve">Misc Admin Exp </t>
  </si>
  <si>
    <t xml:space="preserve">Tenant Functions </t>
  </si>
  <si>
    <t xml:space="preserve">Water </t>
  </si>
  <si>
    <t xml:space="preserve">Sewer </t>
  </si>
  <si>
    <t>Cleaning Sup</t>
  </si>
  <si>
    <t xml:space="preserve">Cleaning Contract </t>
  </si>
  <si>
    <t>Maintenance Mgr-Unit Turnovers</t>
  </si>
  <si>
    <t>Exterminating Cont</t>
  </si>
  <si>
    <t xml:space="preserve">Trash Removal </t>
  </si>
  <si>
    <t>Shrubs &amp; Planting</t>
  </si>
  <si>
    <t>Elevator Maint</t>
  </si>
  <si>
    <t>Misc Operating &amp; Maint</t>
  </si>
  <si>
    <t>Workman's Comp Exp</t>
  </si>
  <si>
    <t>Other Interest</t>
  </si>
  <si>
    <t>Security deposit int. to tenant</t>
  </si>
  <si>
    <t>Elderly Services</t>
  </si>
  <si>
    <t>Depreciation  Expense</t>
  </si>
  <si>
    <t xml:space="preserve">based on depreciation schedule </t>
  </si>
  <si>
    <t>Tsf from Operating Reserves</t>
  </si>
  <si>
    <t xml:space="preserve">Operating Reserves </t>
  </si>
  <si>
    <t>Building Equip-Fixed</t>
  </si>
  <si>
    <t>Building Equip-Portable</t>
  </si>
  <si>
    <t xml:space="preserve">Interest Income </t>
  </si>
  <si>
    <t>Misc Income</t>
  </si>
  <si>
    <t>Office Apartment</t>
  </si>
  <si>
    <t xml:space="preserve">Management Fees </t>
  </si>
  <si>
    <t>Professional Services</t>
  </si>
  <si>
    <t>Audit Expense</t>
  </si>
  <si>
    <t>Janitorial Supply</t>
  </si>
  <si>
    <t xml:space="preserve">Janitorial Contract </t>
  </si>
  <si>
    <t>Security Expense</t>
  </si>
  <si>
    <t>Grounds Contract</t>
  </si>
  <si>
    <t>Grounds Supplies</t>
  </si>
  <si>
    <t xml:space="preserve">Repair Contract </t>
  </si>
  <si>
    <t>Workman's Comp</t>
  </si>
  <si>
    <t>Bad Debt Expense</t>
  </si>
  <si>
    <t>Fire Protection</t>
  </si>
  <si>
    <t>Parks and Recreation</t>
  </si>
  <si>
    <t>Elevator Maintenance</t>
  </si>
  <si>
    <t>Telephone Expense</t>
  </si>
  <si>
    <t>Misc Admin Expense</t>
  </si>
  <si>
    <t>Cleaning Cont</t>
  </si>
  <si>
    <t>Tsf from Repl Reserves</t>
  </si>
  <si>
    <t>Tsf from Resid Receipts</t>
  </si>
  <si>
    <t>Land &amp; Improve</t>
  </si>
  <si>
    <t>Building(CG)</t>
  </si>
  <si>
    <t>Admin Fee Earned</t>
  </si>
  <si>
    <t>HAP Pmts Contributions</t>
  </si>
  <si>
    <t>Portability-In Revenue</t>
  </si>
  <si>
    <t>Fraud Recovery</t>
  </si>
  <si>
    <t>Housing Assisted Payments (HUD)</t>
  </si>
  <si>
    <t xml:space="preserve">Audit Expenses </t>
  </si>
  <si>
    <t xml:space="preserve">Misc Admin Expenses </t>
  </si>
  <si>
    <t xml:space="preserve">Contract Services </t>
  </si>
  <si>
    <t>Hsg Assistance Payments</t>
  </si>
  <si>
    <t>HAP Utilities Payments</t>
  </si>
  <si>
    <t>Total Hsg Assisted Payments</t>
  </si>
  <si>
    <t>(2) Computers/Filing Cabinet</t>
  </si>
  <si>
    <t>Inflation 3% unless otherwise noted</t>
  </si>
  <si>
    <t>Inc. by 3%</t>
  </si>
  <si>
    <t>computer/1500</t>
  </si>
  <si>
    <t>Mgmt Fee - Green Ridge</t>
  </si>
  <si>
    <t>Mgmt Fee - Canyon Gate</t>
  </si>
  <si>
    <t>Mgmt Fee - Mtn View</t>
  </si>
  <si>
    <t>Mgmt Fee - Caesar</t>
  </si>
  <si>
    <t>Mgmt Fee - Aspen Ridge</t>
  </si>
  <si>
    <t>Mgmt Fee - Redwd Village</t>
  </si>
  <si>
    <t>Mgmt Fee - Viking Square</t>
  </si>
  <si>
    <t>Mgmt Fee - Kendall</t>
  </si>
  <si>
    <t>Mgmt Fee-Glndale LLLC</t>
  </si>
  <si>
    <t>Mgmt Fee-Lewis Ct Apts</t>
  </si>
  <si>
    <t>Mgmt Fee - OV</t>
  </si>
  <si>
    <t>Payroll Service</t>
  </si>
  <si>
    <t>Doc Mgmt Svc - Cintas</t>
  </si>
  <si>
    <t>Copier Management (CIT)</t>
  </si>
  <si>
    <t>New Development - legal</t>
  </si>
  <si>
    <t xml:space="preserve">Telephone </t>
  </si>
  <si>
    <t>Misc  Admin Exp</t>
  </si>
  <si>
    <t>Travel Expense</t>
  </si>
  <si>
    <t xml:space="preserve">Gas </t>
  </si>
  <si>
    <t xml:space="preserve">Ground Contract </t>
  </si>
  <si>
    <t xml:space="preserve">Contribution </t>
  </si>
  <si>
    <t>Miscellaneous Fixed Assets</t>
  </si>
  <si>
    <t>Mgmt Fee - Corp Properties</t>
  </si>
  <si>
    <t>Mgmt Fee-LC Prtnership Fee</t>
  </si>
  <si>
    <t>Power Wash</t>
  </si>
  <si>
    <t>Interior common areas painting</t>
  </si>
  <si>
    <t xml:space="preserve"> Concrete mud jacked</t>
  </si>
  <si>
    <t xml:space="preserve">30% of Payroll  </t>
  </si>
  <si>
    <t>5% inc as per HAIG</t>
  </si>
  <si>
    <t>Housing Assisted Payments (HUD) - Utilities</t>
  </si>
  <si>
    <t xml:space="preserve">7.65% of payroll </t>
  </si>
  <si>
    <t>7.65% of payroll</t>
  </si>
  <si>
    <t>30% of total payroll</t>
  </si>
  <si>
    <t>New Budget</t>
  </si>
  <si>
    <t xml:space="preserve">Monthly </t>
  </si>
  <si>
    <t>Client Verification</t>
  </si>
  <si>
    <t>Relet Apartment</t>
  </si>
  <si>
    <t xml:space="preserve">Retro Rent received </t>
  </si>
  <si>
    <t>Mobile unit</t>
  </si>
  <si>
    <t>Power washing</t>
  </si>
  <si>
    <t>Includes tree trimming</t>
  </si>
  <si>
    <t>Amortization Expense</t>
  </si>
  <si>
    <t>Contract Labor</t>
  </si>
  <si>
    <t>Transfer in Reserves</t>
  </si>
  <si>
    <t>Interest Income - Lewis Court</t>
  </si>
  <si>
    <t>1st Mortgage - JCHA</t>
  </si>
  <si>
    <t>SRC contribution</t>
  </si>
  <si>
    <t>Interest Expense - Jeffco</t>
  </si>
  <si>
    <t>Loan Servicing Fees</t>
  </si>
  <si>
    <t>YTD Actual through 9/30/15</t>
  </si>
  <si>
    <t>Arvada Fire Inspection (In-Lieu-Tax)</t>
  </si>
  <si>
    <t>Lewis Court Loan Repayment</t>
  </si>
  <si>
    <t>Reallocation of salaries</t>
  </si>
  <si>
    <t>Mortgage Reserves</t>
  </si>
  <si>
    <t>Projection based on cash flow</t>
  </si>
  <si>
    <t>Administrative Expenditures</t>
  </si>
  <si>
    <t>Utility Expenditures</t>
  </si>
  <si>
    <t>Maintenance Expenditures</t>
  </si>
  <si>
    <t>General Expenditures</t>
  </si>
  <si>
    <t>Capital Expenditures</t>
  </si>
  <si>
    <t>Financing Expenditures</t>
  </si>
  <si>
    <t>Damages &amp; Cleaning Fees</t>
  </si>
  <si>
    <t>Elderly Services (SRC)</t>
  </si>
  <si>
    <t>Extra Maintenance</t>
  </si>
  <si>
    <t>CONSOLIDATED</t>
  </si>
  <si>
    <t>Actual</t>
  </si>
  <si>
    <t>Budget</t>
  </si>
  <si>
    <t xml:space="preserve">YTD </t>
  </si>
  <si>
    <t>ANNUAL</t>
  </si>
  <si>
    <t>Monthly</t>
  </si>
  <si>
    <t xml:space="preserve"> </t>
  </si>
  <si>
    <t>JEFFERSON COUNTY HOUSING AUTHORITY</t>
  </si>
  <si>
    <t>Kendall</t>
  </si>
  <si>
    <t>FY 2016</t>
  </si>
  <si>
    <t>Mountain View</t>
  </si>
  <si>
    <t>Section 8</t>
  </si>
  <si>
    <t>Rehab</t>
  </si>
  <si>
    <t>Aspen Ridge</t>
  </si>
  <si>
    <t>Redwood</t>
  </si>
  <si>
    <t>Green Ridge</t>
  </si>
  <si>
    <t>Glendale</t>
  </si>
  <si>
    <t>Viking Square</t>
  </si>
  <si>
    <t>Canyon Gate</t>
  </si>
  <si>
    <t>Lewis Court</t>
  </si>
  <si>
    <t>Harlan St</t>
  </si>
  <si>
    <t>JCHA</t>
  </si>
  <si>
    <t>The deposits are to inc. by 3% annually. We are doing excess of that.</t>
  </si>
  <si>
    <t>Bookkeeping/Accounting Fees</t>
  </si>
  <si>
    <t>Ptrnship Mgmt Fee</t>
  </si>
  <si>
    <t>Asset Mgmt Fee</t>
  </si>
  <si>
    <t>Operating Receipts - Total</t>
  </si>
  <si>
    <t>Operating Expenditures</t>
  </si>
  <si>
    <t>Total Administrative Expenses</t>
  </si>
  <si>
    <t>Total Utility Expenses</t>
  </si>
  <si>
    <t>Total Maintenance Expenses</t>
  </si>
  <si>
    <t>Total Financing Expenses</t>
  </si>
  <si>
    <t>Total Reserve Expenses</t>
  </si>
  <si>
    <t>Total Capital Expenses</t>
  </si>
  <si>
    <t>Housing Assistance Payments</t>
  </si>
  <si>
    <t>Total Housing Assistance Payments</t>
  </si>
  <si>
    <t>Total Expenditures</t>
  </si>
  <si>
    <t>Depreciation Included in General Expenses</t>
  </si>
  <si>
    <t>Carpet/Vinyl Expense</t>
  </si>
  <si>
    <t>Appliance Expense</t>
  </si>
  <si>
    <t>Tenant Services</t>
  </si>
  <si>
    <t>Includes Anchor Solutions annual service</t>
  </si>
  <si>
    <t>4% Inc as per Denver Water</t>
  </si>
  <si>
    <t>3% Inc as per Xcel Energy</t>
  </si>
  <si>
    <t>30.% of payroll - Hlth, Dental, CCOERA &amp; Mtn St Employ Council</t>
  </si>
  <si>
    <t>Rebate income from Xcel Energy</t>
  </si>
  <si>
    <t>Floating mtnce person</t>
  </si>
  <si>
    <t>2 A/C units @$2000, 1 Hot Water Heater $6000</t>
  </si>
  <si>
    <t>Based on existing contract</t>
  </si>
  <si>
    <t>Based on mortgage schedule</t>
  </si>
  <si>
    <t>Based on mortgage schedule - NSP &amp; CDBG loans</t>
  </si>
  <si>
    <t>Based on 2% of rental income</t>
  </si>
  <si>
    <t xml:space="preserve">Includes antenna income/LC Bookking Fees </t>
  </si>
  <si>
    <t>Unemployment Benefits</t>
  </si>
  <si>
    <t>Const. Mgmt Fee - WRHA</t>
  </si>
  <si>
    <t>Loss on Disposal Fixed Assets</t>
  </si>
  <si>
    <t>VASH Pmts Contributions</t>
  </si>
  <si>
    <t>Education Expense</t>
  </si>
  <si>
    <t>Loss Disposal Fixed Asset</t>
  </si>
  <si>
    <t>Applications Fees</t>
  </si>
  <si>
    <t>Pool Contract</t>
  </si>
  <si>
    <t>Lakewood Expenses</t>
  </si>
  <si>
    <t>Education Expenses</t>
  </si>
  <si>
    <t>9 MO Average</t>
  </si>
  <si>
    <t>Lewis Court Apts Budget Projection Year 2017</t>
  </si>
  <si>
    <t>Projected Annual Budget 2017</t>
  </si>
  <si>
    <t>Kendall Apts Budget Projection Year 2017</t>
  </si>
  <si>
    <t>2016 Annual Budget</t>
  </si>
  <si>
    <t>YTD Actual FY 2016 @ 9/30/16</t>
  </si>
  <si>
    <t>FY 2016 - 9 month Avg</t>
  </si>
  <si>
    <t>On 10/2016 Informational purpose on Reserve Accounts:</t>
  </si>
  <si>
    <t>Replacement Reserves $47,416.90</t>
  </si>
  <si>
    <t>Operating Reserves $383,903.93</t>
  </si>
  <si>
    <t>Office Equipment Mtnce</t>
  </si>
  <si>
    <t>Based on LP agreement</t>
  </si>
  <si>
    <t>4% Inc as per Xcel Energy</t>
  </si>
  <si>
    <t>Monthly bus stop/common areas cleaning</t>
  </si>
  <si>
    <t>Fee is based on 5.75% of income</t>
  </si>
  <si>
    <t>Heat treatments</t>
  </si>
  <si>
    <t>Increase of 5% based on contract</t>
  </si>
  <si>
    <t>Includes tree replacing, landscaping, concrete work</t>
  </si>
  <si>
    <t>Carpet clning &amp; paint common areas/awning, pavers &amp; furniture qtrly, inc due to HVAC prevent mtnce &amp; touchup</t>
  </si>
  <si>
    <t xml:space="preserve">(2) units of carpet @$600 ea. </t>
  </si>
  <si>
    <t>2 W/D @ $1200 ea. ,Fridge $675,Microwave $475,D/W 2@$450</t>
  </si>
  <si>
    <t>Increase of 4% based on contract</t>
  </si>
  <si>
    <t>3% of payroll</t>
  </si>
  <si>
    <t>Replace (2) pole lights@$2100 ea.</t>
  </si>
  <si>
    <t xml:space="preserve">3.% of payroll  </t>
  </si>
  <si>
    <t>Replacement of Dialectic unions 4@$475 ea.</t>
  </si>
  <si>
    <t>Mgmt Fee - Harlan</t>
  </si>
  <si>
    <t>Senior Resource Center</t>
  </si>
  <si>
    <t>Reimb from Social Reserve account (SRC)</t>
  </si>
  <si>
    <t>Net Income (Loss) After Depreciation</t>
  </si>
  <si>
    <t>Furnishings/Furniture Expense</t>
  </si>
  <si>
    <t>Loss on Joint Venture (Cedar)</t>
  </si>
  <si>
    <t>Combine with HCV contributions</t>
  </si>
  <si>
    <t>Salaries - CDBG</t>
  </si>
  <si>
    <t>Rehab Exp - Golden</t>
  </si>
  <si>
    <t>Payroll Tax - CDBG</t>
  </si>
  <si>
    <t>Benefits - CDBG</t>
  </si>
  <si>
    <t>Water Heater</t>
  </si>
  <si>
    <t>Exterior painting</t>
  </si>
  <si>
    <t>Utilities included in rent starting 2016?</t>
  </si>
  <si>
    <t>Prior year expense was done not done again until 2025</t>
  </si>
  <si>
    <t xml:space="preserve"> (Pole Light $5K) Concrete Work garden/walk $6K</t>
  </si>
  <si>
    <t>Awnings $36K, Club House $5K, interior paint $3K</t>
  </si>
  <si>
    <t>`</t>
  </si>
  <si>
    <t>Significant write - offs in 2016</t>
  </si>
  <si>
    <t>Fee is based on 5% of income</t>
  </si>
  <si>
    <t>2% of rental income</t>
  </si>
  <si>
    <t>2% of Rental Income</t>
  </si>
  <si>
    <r>
      <t xml:space="preserve">Paint/Caulking &amp; Prep done 2016 </t>
    </r>
    <r>
      <rPr>
        <sz val="10"/>
        <color rgb="FFFF0000"/>
        <rFont val="Times New Roman"/>
        <family val="1"/>
      </rPr>
      <t>(40K)</t>
    </r>
  </si>
  <si>
    <t>Fee is based on 6.30% of income</t>
  </si>
  <si>
    <t>None provided in 2017</t>
  </si>
  <si>
    <t>In-House Inspector</t>
  </si>
  <si>
    <t>3.% of payroll  per Mtn St Employ Council</t>
  </si>
  <si>
    <t>Rehab Budget Projection Year 2017</t>
  </si>
  <si>
    <t>JCHA MGMT Budget Projection Year 2017</t>
  </si>
  <si>
    <t>Mtn View Sq Apts Budget Projection Year 2017</t>
  </si>
  <si>
    <t>5% increase allocated throughout the year</t>
  </si>
  <si>
    <t>Net Income (Loss)</t>
  </si>
  <si>
    <t>FY 2017</t>
  </si>
  <si>
    <t>at 9/30/16</t>
  </si>
  <si>
    <t>Net Gain/(Loss)</t>
  </si>
  <si>
    <t>FY 2017 OPERATING BUDGET</t>
  </si>
  <si>
    <t>Lkwd CDBG Fnds-FY16</t>
  </si>
  <si>
    <t>Jeffco CDBG Inc-FY16</t>
  </si>
  <si>
    <t>5% Inc as per Denver Water</t>
  </si>
  <si>
    <t>Payoff expected August 2017</t>
  </si>
  <si>
    <t>Painting/caulking was done in 2016</t>
  </si>
  <si>
    <t>On 10/2016    Replacement Reserves $315,214.52</t>
  </si>
  <si>
    <t>On 10/2016    Replacement Reserves $46,616.85</t>
  </si>
  <si>
    <t>On 10/2016    Replacement Reserves $38,706.65</t>
  </si>
  <si>
    <t>On 10/2016   Replacement Reserves $39,908.79</t>
  </si>
  <si>
    <t>On 10/2016    Replacement Reserves $37,301.46</t>
  </si>
  <si>
    <t>On 10/2016    Replacement Reserves $54,478.59</t>
  </si>
  <si>
    <t>On 10/2016    Replacement Reserves $57,194.98</t>
  </si>
  <si>
    <t>On 10/2016    Replacement Reserves $47,154.11</t>
  </si>
  <si>
    <t>On 10/2016    Replacement Reserves $44,830.59</t>
  </si>
  <si>
    <t>On 10/2016    Replacement Reserves $2,350.00</t>
  </si>
  <si>
    <t>Based on contract</t>
  </si>
  <si>
    <t>Vehicle, notepad $700</t>
  </si>
  <si>
    <t>Based on 3 year average</t>
  </si>
  <si>
    <t>cabinets/counter tops</t>
  </si>
  <si>
    <t>Building entry doors</t>
  </si>
  <si>
    <t>(2) boiler/heat system</t>
  </si>
  <si>
    <t>Includes tree trimming/replace</t>
  </si>
  <si>
    <t>(3) Water Heaters</t>
  </si>
  <si>
    <t>Outside tables @ $500 ea.</t>
  </si>
  <si>
    <t>Trimming/remove some trees based on bid</t>
  </si>
  <si>
    <t>Based on Contract</t>
  </si>
  <si>
    <t>Vehicle</t>
  </si>
  <si>
    <t>8% Inc as per Denver Water</t>
  </si>
  <si>
    <t>Re-sod $3K &amp; re-stripe lots $1,500</t>
  </si>
  <si>
    <t>(1) unit of cabinets</t>
  </si>
  <si>
    <t>Painting exterior, annual contracts</t>
  </si>
  <si>
    <t>File drawers (5) $2K</t>
  </si>
  <si>
    <t>Office 365 upgrade $5500/Server $5800 migration, $3K security cams</t>
  </si>
  <si>
    <t>Reallocate Rehab person</t>
  </si>
  <si>
    <t>Based on 17035 annual units</t>
  </si>
  <si>
    <t>Training for in-house personnel</t>
  </si>
  <si>
    <t>Transfer from Reserve</t>
  </si>
  <si>
    <t>$43K Boiler System,  $20K Security System</t>
  </si>
  <si>
    <t>One floor of carpet</t>
  </si>
  <si>
    <t>Puematic compressor</t>
  </si>
  <si>
    <t>Reallocate Rehab salary</t>
  </si>
  <si>
    <t>Transfer From Reserves</t>
  </si>
  <si>
    <t>Roof repairs $5K</t>
  </si>
  <si>
    <t>New manager</t>
  </si>
  <si>
    <t>1  Floor of Carpet</t>
  </si>
  <si>
    <t>Siding for 2 bldgs</t>
  </si>
  <si>
    <t xml:space="preserve">Increase repl reserves </t>
  </si>
  <si>
    <t>(2) boilers</t>
  </si>
  <si>
    <t>Asphalt Overlay $60K, Resurface pool $16K/deck $8K</t>
  </si>
  <si>
    <t>1582 vouchers (avg HAP 614) plus utilities</t>
  </si>
  <si>
    <t>goes to Viking</t>
  </si>
  <si>
    <t>Reallocation of salaries with Aspen</t>
  </si>
  <si>
    <t>Reallocation of salaries with Viking</t>
  </si>
  <si>
    <t>Ext paint $12K/Sprinkler heads to units (bldg upgrade) $2K, Sec Sys</t>
  </si>
  <si>
    <t>Mortgage Ends 8/2022</t>
  </si>
  <si>
    <t>Mortgage Ends 12/2020</t>
  </si>
  <si>
    <t>Mortgage Ends 8/2017</t>
  </si>
  <si>
    <t>Mortgage Ends 12/2021</t>
  </si>
  <si>
    <t xml:space="preserve">No Mortgage </t>
  </si>
  <si>
    <t>Mortgage Ends 10/2027</t>
  </si>
  <si>
    <t>Tax Credit expires 12/2015--Mortgage Ends 02/2032</t>
  </si>
  <si>
    <t>Mortgage Ends 09/2035</t>
  </si>
  <si>
    <t>Tax Credit expires 9/2024--Mortgage Ends 08/2043</t>
  </si>
  <si>
    <t xml:space="preserve">Social Service Reserves $375,876.27       </t>
  </si>
  <si>
    <t>City of Westminster (2017) annual fee-$1K for property inspections</t>
  </si>
  <si>
    <t>Other Income - Cedar Property</t>
  </si>
  <si>
    <t>The property is expected to have a positive cash flow</t>
  </si>
  <si>
    <t>Boiler System (Applying for EOC funding)</t>
  </si>
  <si>
    <t>Roof contract $5K</t>
  </si>
  <si>
    <t>Metal stairs $36K</t>
  </si>
  <si>
    <t>Mortgage Ends 11/2021 (Ballon Pmt) $2.8 mil.</t>
  </si>
  <si>
    <t>Playground equipment $25K, Drop Box $3K</t>
  </si>
  <si>
    <t>Playground $30K/Exterior Storage Shed $3K, Drop Box $3K</t>
  </si>
  <si>
    <t>Section 8 Budget Projection Year 2017</t>
  </si>
  <si>
    <t>Capital Planning Consultant $10K</t>
  </si>
  <si>
    <t>Canyon Gate Apts Budget Projection Year 2017</t>
  </si>
  <si>
    <t>Green Ridge Meadow Budget Projection Year 2017</t>
  </si>
  <si>
    <t>Caesar Sq Apts Budget Projection Year 2017</t>
  </si>
  <si>
    <t>Redwood Village Budget Projection Year 2017</t>
  </si>
  <si>
    <t>Aspen Ridge Budget Projection Year 2017</t>
  </si>
  <si>
    <t>Viking Square Budget Projection Year 2017</t>
  </si>
  <si>
    <t>Glendale Apts Budget Projection Year 2017</t>
  </si>
  <si>
    <t>Harlan St Apts Budget Projection Year 2017</t>
  </si>
  <si>
    <t>Includes Anchor Solutions annual service,($2K) 2 computers, and ($2K) 3 notepads - , ($600) 1 color printer, board docs ($3K)</t>
  </si>
  <si>
    <t>(1) Laptop $800, (2) notepads $800, HAB, INC, $9K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</si>
</sst>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3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5" fillId="0" borderId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NumberFormat="1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center" vertical="top"/>
    </xf>
    <xf numFmtId="8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 vertical="top"/>
    </xf>
    <xf numFmtId="8" fontId="1" fillId="0" borderId="1" xfId="0" applyNumberFormat="1" applyFont="1" applyFill="1" applyBorder="1" applyAlignment="1">
      <alignment horizontal="right" vertical="top"/>
    </xf>
    <xf numFmtId="0" fontId="1" fillId="0" borderId="3" xfId="0" applyNumberFormat="1" applyFont="1" applyFill="1" applyBorder="1" applyAlignment="1">
      <alignment horizontal="left" vertical="top"/>
    </xf>
    <xf numFmtId="0" fontId="1" fillId="0" borderId="4" xfId="0" applyNumberFormat="1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left" vertical="top"/>
    </xf>
    <xf numFmtId="0" fontId="1" fillId="0" borderId="7" xfId="0" applyNumberFormat="1" applyFont="1" applyFill="1" applyBorder="1" applyAlignment="1">
      <alignment horizontal="left" vertical="top"/>
    </xf>
    <xf numFmtId="0" fontId="1" fillId="0" borderId="7" xfId="0" applyNumberFormat="1" applyFont="1" applyFill="1" applyBorder="1" applyAlignment="1">
      <alignment horizontal="center" vertical="top"/>
    </xf>
    <xf numFmtId="8" fontId="1" fillId="0" borderId="7" xfId="0" applyNumberFormat="1" applyFont="1" applyFill="1" applyBorder="1" applyAlignment="1">
      <alignment horizontal="right" vertical="top"/>
    </xf>
    <xf numFmtId="0" fontId="1" fillId="0" borderId="8" xfId="0" applyNumberFormat="1" applyFont="1" applyFill="1" applyBorder="1" applyAlignment="1">
      <alignment horizontal="left" vertical="top"/>
    </xf>
    <xf numFmtId="0" fontId="1" fillId="0" borderId="9" xfId="0" applyNumberFormat="1" applyFont="1" applyFill="1" applyBorder="1" applyAlignment="1">
      <alignment horizontal="left" vertical="top"/>
    </xf>
    <xf numFmtId="0" fontId="1" fillId="0" borderId="10" xfId="0" applyNumberFormat="1" applyFont="1" applyFill="1" applyBorder="1" applyAlignment="1">
      <alignment horizontal="left" vertical="top"/>
    </xf>
    <xf numFmtId="0" fontId="0" fillId="0" borderId="0" xfId="0" applyFill="1" applyBorder="1" applyAlignment="1"/>
    <xf numFmtId="49" fontId="5" fillId="0" borderId="0" xfId="0" applyNumberFormat="1" applyFont="1" applyAlignment="1">
      <alignment horizontal="left"/>
    </xf>
    <xf numFmtId="0" fontId="0" fillId="0" borderId="16" xfId="0" applyBorder="1"/>
    <xf numFmtId="0" fontId="3" fillId="0" borderId="0" xfId="0" applyFont="1"/>
    <xf numFmtId="0" fontId="3" fillId="0" borderId="0" xfId="0" applyFont="1" applyAlignment="1">
      <alignment horizontal="center"/>
    </xf>
    <xf numFmtId="9" fontId="0" fillId="0" borderId="0" xfId="2" applyFont="1"/>
    <xf numFmtId="9" fontId="0" fillId="0" borderId="0" xfId="2" applyNumberFormat="1" applyFont="1"/>
    <xf numFmtId="9" fontId="6" fillId="0" borderId="0" xfId="2" applyNumberFormat="1" applyFont="1" applyAlignment="1">
      <alignment horizontal="left"/>
    </xf>
    <xf numFmtId="0" fontId="5" fillId="0" borderId="0" xfId="0" applyFont="1"/>
    <xf numFmtId="9" fontId="6" fillId="0" borderId="0" xfId="2" applyFont="1" applyFill="1" applyBorder="1" applyAlignment="1">
      <alignment wrapText="1"/>
    </xf>
    <xf numFmtId="0" fontId="3" fillId="0" borderId="17" xfId="0" applyFont="1" applyBorder="1"/>
    <xf numFmtId="0" fontId="0" fillId="0" borderId="17" xfId="0" applyBorder="1"/>
    <xf numFmtId="9" fontId="3" fillId="0" borderId="0" xfId="2" applyFont="1"/>
    <xf numFmtId="9" fontId="6" fillId="0" borderId="0" xfId="2" applyFont="1" applyFill="1" applyBorder="1" applyAlignment="1">
      <alignment horizontal="left" wrapText="1"/>
    </xf>
    <xf numFmtId="0" fontId="0" fillId="0" borderId="0" xfId="0" applyBorder="1"/>
    <xf numFmtId="10" fontId="6" fillId="0" borderId="0" xfId="2" applyNumberFormat="1" applyFont="1" applyFill="1" applyBorder="1" applyAlignment="1">
      <alignment horizontal="left" wrapText="1"/>
    </xf>
    <xf numFmtId="10" fontId="6" fillId="0" borderId="0" xfId="2" applyNumberFormat="1" applyFont="1" applyAlignment="1">
      <alignment horizontal="left"/>
    </xf>
    <xf numFmtId="9" fontId="6" fillId="0" borderId="0" xfId="2" applyFont="1" applyAlignment="1">
      <alignment horizontal="left"/>
    </xf>
    <xf numFmtId="9" fontId="4" fillId="0" borderId="0" xfId="2" applyFont="1" applyBorder="1"/>
    <xf numFmtId="0" fontId="3" fillId="0" borderId="0" xfId="0" applyFont="1" applyBorder="1" applyAlignment="1">
      <alignment horizontal="center"/>
    </xf>
    <xf numFmtId="0" fontId="0" fillId="0" borderId="21" xfId="0" applyBorder="1"/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9" fillId="0" borderId="0" xfId="0" applyFont="1" applyBorder="1"/>
    <xf numFmtId="0" fontId="8" fillId="0" borderId="29" xfId="0" applyFont="1" applyFill="1" applyBorder="1" applyAlignment="1">
      <alignment horizontal="right" wrapText="1"/>
    </xf>
    <xf numFmtId="0" fontId="8" fillId="0" borderId="30" xfId="0" applyFont="1" applyFill="1" applyBorder="1" applyAlignment="1">
      <alignment horizontal="center"/>
    </xf>
    <xf numFmtId="0" fontId="9" fillId="0" borderId="0" xfId="0" applyFont="1" applyFill="1" applyBorder="1" applyAlignment="1"/>
    <xf numFmtId="38" fontId="8" fillId="0" borderId="0" xfId="0" applyNumberFormat="1" applyFont="1" applyFill="1" applyBorder="1" applyAlignment="1"/>
    <xf numFmtId="37" fontId="8" fillId="0" borderId="0" xfId="0" applyNumberFormat="1" applyFont="1" applyFill="1" applyBorder="1" applyAlignment="1"/>
    <xf numFmtId="37" fontId="8" fillId="0" borderId="13" xfId="0" applyNumberFormat="1" applyFont="1" applyBorder="1"/>
    <xf numFmtId="37" fontId="8" fillId="0" borderId="0" xfId="0" applyNumberFormat="1" applyFont="1" applyBorder="1"/>
    <xf numFmtId="37" fontId="8" fillId="0" borderId="14" xfId="0" applyNumberFormat="1" applyFont="1" applyBorder="1"/>
    <xf numFmtId="37" fontId="8" fillId="0" borderId="15" xfId="0" applyNumberFormat="1" applyFont="1" applyBorder="1"/>
    <xf numFmtId="37" fontId="8" fillId="0" borderId="16" xfId="0" applyNumberFormat="1" applyFont="1" applyBorder="1"/>
    <xf numFmtId="38" fontId="8" fillId="0" borderId="17" xfId="0" applyNumberFormat="1" applyFont="1" applyFill="1" applyBorder="1" applyAlignment="1"/>
    <xf numFmtId="37" fontId="8" fillId="0" borderId="17" xfId="0" applyNumberFormat="1" applyFont="1" applyFill="1" applyBorder="1" applyAlignment="1"/>
    <xf numFmtId="37" fontId="8" fillId="0" borderId="18" xfId="0" applyNumberFormat="1" applyFont="1" applyBorder="1"/>
    <xf numFmtId="37" fontId="8" fillId="0" borderId="17" xfId="0" applyNumberFormat="1" applyFont="1" applyBorder="1"/>
    <xf numFmtId="37" fontId="8" fillId="0" borderId="19" xfId="0" applyNumberFormat="1" applyFont="1" applyBorder="1"/>
    <xf numFmtId="37" fontId="8" fillId="0" borderId="15" xfId="0" applyNumberFormat="1" applyFont="1" applyFill="1" applyBorder="1" applyAlignment="1"/>
    <xf numFmtId="37" fontId="8" fillId="0" borderId="16" xfId="0" applyNumberFormat="1" applyFont="1" applyFill="1" applyBorder="1" applyAlignment="1"/>
    <xf numFmtId="38" fontId="8" fillId="0" borderId="0" xfId="0" applyNumberFormat="1" applyFont="1" applyFill="1" applyBorder="1" applyAlignment="1">
      <alignment horizontal="center"/>
    </xf>
    <xf numFmtId="37" fontId="8" fillId="0" borderId="15" xfId="0" applyNumberFormat="1" applyFont="1" applyBorder="1" applyAlignment="1"/>
    <xf numFmtId="37" fontId="8" fillId="0" borderId="0" xfId="0" applyNumberFormat="1" applyFont="1" applyBorder="1" applyAlignment="1"/>
    <xf numFmtId="37" fontId="8" fillId="0" borderId="16" xfId="0" applyNumberFormat="1" applyFont="1" applyBorder="1" applyAlignment="1"/>
    <xf numFmtId="0" fontId="9" fillId="0" borderId="17" xfId="0" applyFont="1" applyFill="1" applyBorder="1" applyAlignment="1"/>
    <xf numFmtId="37" fontId="8" fillId="0" borderId="18" xfId="0" applyNumberFormat="1" applyFont="1" applyBorder="1" applyAlignment="1"/>
    <xf numFmtId="37" fontId="8" fillId="0" borderId="17" xfId="0" applyNumberFormat="1" applyFont="1" applyBorder="1" applyAlignment="1"/>
    <xf numFmtId="37" fontId="8" fillId="0" borderId="19" xfId="0" applyNumberFormat="1" applyFont="1" applyBorder="1" applyAlignment="1"/>
    <xf numFmtId="37" fontId="8" fillId="0" borderId="15" xfId="1" applyNumberFormat="1" applyFont="1" applyBorder="1" applyAlignment="1"/>
    <xf numFmtId="37" fontId="8" fillId="0" borderId="0" xfId="1" applyNumberFormat="1" applyFont="1" applyBorder="1" applyAlignment="1"/>
    <xf numFmtId="0" fontId="10" fillId="3" borderId="27" xfId="0" applyFont="1" applyFill="1" applyBorder="1" applyAlignment="1"/>
    <xf numFmtId="0" fontId="9" fillId="3" borderId="27" xfId="0" applyFont="1" applyFill="1" applyBorder="1" applyAlignment="1"/>
    <xf numFmtId="38" fontId="8" fillId="3" borderId="27" xfId="0" applyNumberFormat="1" applyFont="1" applyFill="1" applyBorder="1" applyAlignment="1"/>
    <xf numFmtId="37" fontId="11" fillId="3" borderId="27" xfId="0" applyNumberFormat="1" applyFont="1" applyFill="1" applyBorder="1" applyAlignment="1"/>
    <xf numFmtId="37" fontId="11" fillId="3" borderId="28" xfId="0" applyNumberFormat="1" applyFont="1" applyFill="1" applyBorder="1" applyAlignment="1"/>
    <xf numFmtId="37" fontId="11" fillId="3" borderId="26" xfId="0" applyNumberFormat="1" applyFont="1" applyFill="1" applyBorder="1" applyAlignment="1"/>
    <xf numFmtId="0" fontId="10" fillId="0" borderId="0" xfId="0" applyFont="1" applyFill="1" applyBorder="1" applyAlignment="1"/>
    <xf numFmtId="37" fontId="8" fillId="0" borderId="16" xfId="0" applyNumberFormat="1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37" fontId="8" fillId="0" borderId="15" xfId="1" applyNumberFormat="1" applyFont="1" applyBorder="1"/>
    <xf numFmtId="37" fontId="8" fillId="0" borderId="0" xfId="1" applyNumberFormat="1" applyFont="1" applyBorder="1"/>
    <xf numFmtId="38" fontId="8" fillId="0" borderId="15" xfId="0" applyNumberFormat="1" applyFont="1" applyBorder="1"/>
    <xf numFmtId="38" fontId="8" fillId="0" borderId="0" xfId="0" applyNumberFormat="1" applyFont="1" applyBorder="1"/>
    <xf numFmtId="38" fontId="8" fillId="0" borderId="16" xfId="0" applyNumberFormat="1" applyFont="1" applyBorder="1"/>
    <xf numFmtId="38" fontId="8" fillId="0" borderId="18" xfId="0" applyNumberFormat="1" applyFont="1" applyBorder="1"/>
    <xf numFmtId="38" fontId="8" fillId="0" borderId="17" xfId="0" applyNumberFormat="1" applyFont="1" applyBorder="1"/>
    <xf numFmtId="38" fontId="8" fillId="0" borderId="19" xfId="0" applyNumberFormat="1" applyFont="1" applyBorder="1"/>
    <xf numFmtId="38" fontId="8" fillId="0" borderId="15" xfId="1" applyNumberFormat="1" applyFont="1" applyBorder="1"/>
    <xf numFmtId="38" fontId="8" fillId="0" borderId="0" xfId="1" applyNumberFormat="1" applyFont="1" applyBorder="1"/>
    <xf numFmtId="38" fontId="8" fillId="0" borderId="16" xfId="1" applyNumberFormat="1" applyFont="1" applyBorder="1"/>
    <xf numFmtId="38" fontId="8" fillId="0" borderId="16" xfId="0" applyNumberFormat="1" applyFont="1" applyFill="1" applyBorder="1" applyAlignment="1">
      <alignment horizontal="center"/>
    </xf>
    <xf numFmtId="38" fontId="8" fillId="0" borderId="15" xfId="1" applyNumberFormat="1" applyFont="1" applyBorder="1" applyAlignment="1"/>
    <xf numFmtId="38" fontId="8" fillId="0" borderId="0" xfId="1" applyNumberFormat="1" applyFont="1" applyBorder="1" applyAlignment="1"/>
    <xf numFmtId="38" fontId="8" fillId="0" borderId="16" xfId="1" applyNumberFormat="1" applyFont="1" applyBorder="1" applyAlignment="1"/>
    <xf numFmtId="0" fontId="8" fillId="0" borderId="15" xfId="0" applyFont="1" applyBorder="1"/>
    <xf numFmtId="0" fontId="8" fillId="0" borderId="0" xfId="0" applyFont="1" applyBorder="1"/>
    <xf numFmtId="0" fontId="9" fillId="0" borderId="16" xfId="0" applyFont="1" applyBorder="1"/>
    <xf numFmtId="0" fontId="12" fillId="0" borderId="0" xfId="0" applyFont="1"/>
    <xf numFmtId="38" fontId="8" fillId="0" borderId="21" xfId="0" applyNumberFormat="1" applyFont="1" applyBorder="1"/>
    <xf numFmtId="38" fontId="8" fillId="0" borderId="22" xfId="0" applyNumberFormat="1" applyFont="1" applyBorder="1"/>
    <xf numFmtId="0" fontId="13" fillId="0" borderId="0" xfId="0" applyFont="1"/>
    <xf numFmtId="0" fontId="15" fillId="0" borderId="15" xfId="0" applyFont="1" applyBorder="1"/>
    <xf numFmtId="0" fontId="16" fillId="0" borderId="0" xfId="0" applyFont="1" applyFill="1" applyBorder="1" applyAlignment="1">
      <alignment wrapText="1"/>
    </xf>
    <xf numFmtId="49" fontId="12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/>
    <xf numFmtId="0" fontId="16" fillId="0" borderId="0" xfId="0" applyFont="1" applyFill="1" applyBorder="1" applyAlignment="1">
      <alignment horizontal="center" wrapText="1"/>
    </xf>
    <xf numFmtId="9" fontId="8" fillId="0" borderId="0" xfId="2" applyFont="1" applyFill="1" applyBorder="1" applyAlignment="1">
      <alignment horizontal="center"/>
    </xf>
    <xf numFmtId="9" fontId="9" fillId="0" borderId="0" xfId="2" applyFont="1"/>
    <xf numFmtId="49" fontId="12" fillId="0" borderId="0" xfId="0" applyNumberFormat="1" applyFont="1" applyAlignment="1">
      <alignment horizontal="left"/>
    </xf>
    <xf numFmtId="0" fontId="10" fillId="0" borderId="0" xfId="0" applyFont="1"/>
    <xf numFmtId="0" fontId="9" fillId="0" borderId="21" xfId="0" applyFont="1" applyBorder="1"/>
    <xf numFmtId="0" fontId="9" fillId="0" borderId="15" xfId="0" applyFont="1" applyBorder="1"/>
    <xf numFmtId="0" fontId="8" fillId="0" borderId="13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/>
    </xf>
    <xf numFmtId="38" fontId="8" fillId="0" borderId="15" xfId="0" applyNumberFormat="1" applyFont="1" applyBorder="1" applyAlignment="1"/>
    <xf numFmtId="38" fontId="8" fillId="0" borderId="15" xfId="0" applyNumberFormat="1" applyFont="1" applyFill="1" applyBorder="1" applyAlignment="1"/>
    <xf numFmtId="38" fontId="8" fillId="0" borderId="16" xfId="0" applyNumberFormat="1" applyFont="1" applyFill="1" applyBorder="1" applyAlignment="1"/>
    <xf numFmtId="9" fontId="16" fillId="0" borderId="0" xfId="2" applyNumberFormat="1" applyFont="1" applyAlignment="1">
      <alignment horizontal="left"/>
    </xf>
    <xf numFmtId="38" fontId="9" fillId="0" borderId="0" xfId="0" applyNumberFormat="1" applyFont="1" applyFill="1" applyBorder="1" applyAlignment="1"/>
    <xf numFmtId="38" fontId="9" fillId="0" borderId="17" xfId="0" applyNumberFormat="1" applyFont="1" applyFill="1" applyBorder="1" applyAlignment="1"/>
    <xf numFmtId="38" fontId="8" fillId="0" borderId="19" xfId="0" applyNumberFormat="1" applyFont="1" applyFill="1" applyBorder="1" applyAlignment="1"/>
    <xf numFmtId="0" fontId="10" fillId="3" borderId="0" xfId="0" applyFont="1" applyFill="1" applyBorder="1" applyAlignment="1"/>
    <xf numFmtId="0" fontId="9" fillId="3" borderId="0" xfId="0" applyFont="1" applyFill="1" applyBorder="1" applyAlignment="1"/>
    <xf numFmtId="38" fontId="8" fillId="3" borderId="0" xfId="0" applyNumberFormat="1" applyFont="1" applyFill="1" applyBorder="1" applyAlignment="1"/>
    <xf numFmtId="0" fontId="14" fillId="0" borderId="13" xfId="0" applyFont="1" applyBorder="1" applyAlignment="1"/>
    <xf numFmtId="0" fontId="14" fillId="0" borderId="14" xfId="0" applyFont="1" applyBorder="1" applyAlignment="1"/>
    <xf numFmtId="0" fontId="8" fillId="0" borderId="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4" fillId="0" borderId="0" xfId="0" applyFont="1" applyBorder="1" applyAlignment="1"/>
    <xf numFmtId="0" fontId="15" fillId="0" borderId="0" xfId="0" applyFont="1" applyBorder="1"/>
    <xf numFmtId="0" fontId="15" fillId="0" borderId="21" xfId="0" applyFont="1" applyBorder="1"/>
    <xf numFmtId="0" fontId="9" fillId="0" borderId="22" xfId="0" applyFont="1" applyBorder="1"/>
    <xf numFmtId="0" fontId="8" fillId="0" borderId="29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37" fontId="8" fillId="0" borderId="13" xfId="0" applyNumberFormat="1" applyFont="1" applyFill="1" applyBorder="1" applyAlignment="1"/>
    <xf numFmtId="37" fontId="8" fillId="0" borderId="15" xfId="0" applyNumberFormat="1" applyFont="1" applyFill="1" applyBorder="1" applyAlignment="1">
      <alignment wrapText="1"/>
    </xf>
    <xf numFmtId="10" fontId="16" fillId="0" borderId="0" xfId="2" applyNumberFormat="1" applyFont="1" applyFill="1" applyBorder="1" applyAlignment="1">
      <alignment horizontal="left" wrapText="1"/>
    </xf>
    <xf numFmtId="37" fontId="8" fillId="0" borderId="18" xfId="0" applyNumberFormat="1" applyFont="1" applyFill="1" applyBorder="1" applyAlignment="1"/>
    <xf numFmtId="37" fontId="8" fillId="0" borderId="18" xfId="0" applyNumberFormat="1" applyFont="1" applyFill="1" applyBorder="1" applyAlignment="1">
      <alignment wrapText="1"/>
    </xf>
    <xf numFmtId="37" fontId="8" fillId="0" borderId="19" xfId="0" applyNumberFormat="1" applyFont="1" applyFill="1" applyBorder="1" applyAlignment="1"/>
    <xf numFmtId="38" fontId="8" fillId="0" borderId="23" xfId="0" applyNumberFormat="1" applyFont="1" applyFill="1" applyBorder="1" applyAlignment="1"/>
    <xf numFmtId="37" fontId="8" fillId="0" borderId="23" xfId="0" applyNumberFormat="1" applyFont="1" applyFill="1" applyBorder="1" applyAlignment="1"/>
    <xf numFmtId="38" fontId="8" fillId="0" borderId="18" xfId="0" applyNumberFormat="1" applyFont="1" applyFill="1" applyBorder="1" applyAlignment="1"/>
    <xf numFmtId="38" fontId="8" fillId="0" borderId="21" xfId="0" applyNumberFormat="1" applyFont="1" applyFill="1" applyBorder="1" applyAlignment="1"/>
    <xf numFmtId="0" fontId="17" fillId="0" borderId="0" xfId="0" applyFont="1" applyFill="1" applyBorder="1" applyAlignment="1">
      <alignment wrapText="1"/>
    </xf>
    <xf numFmtId="0" fontId="17" fillId="0" borderId="0" xfId="0" applyFont="1"/>
    <xf numFmtId="0" fontId="9" fillId="0" borderId="13" xfId="0" applyFont="1" applyBorder="1"/>
    <xf numFmtId="0" fontId="9" fillId="0" borderId="14" xfId="0" applyFont="1" applyBorder="1"/>
    <xf numFmtId="9" fontId="18" fillId="0" borderId="0" xfId="2" applyFont="1" applyFill="1" applyBorder="1" applyAlignment="1">
      <alignment horizontal="center"/>
    </xf>
    <xf numFmtId="9" fontId="17" fillId="0" borderId="0" xfId="2" applyFont="1"/>
    <xf numFmtId="9" fontId="17" fillId="0" borderId="0" xfId="2" applyNumberFormat="1" applyFont="1" applyAlignment="1">
      <alignment horizontal="left"/>
    </xf>
    <xf numFmtId="0" fontId="9" fillId="0" borderId="20" xfId="0" applyFont="1" applyFill="1" applyBorder="1" applyAlignment="1"/>
    <xf numFmtId="9" fontId="16" fillId="0" borderId="0" xfId="2" applyFont="1" applyFill="1" applyBorder="1" applyAlignment="1">
      <alignment wrapText="1"/>
    </xf>
    <xf numFmtId="0" fontId="8" fillId="0" borderId="17" xfId="0" applyFont="1" applyFill="1" applyBorder="1" applyAlignment="1">
      <alignment horizontal="center" wrapText="1"/>
    </xf>
    <xf numFmtId="0" fontId="9" fillId="0" borderId="18" xfId="0" applyFont="1" applyBorder="1"/>
    <xf numFmtId="0" fontId="10" fillId="0" borderId="17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7" fontId="9" fillId="0" borderId="19" xfId="0" applyNumberFormat="1" applyFont="1" applyBorder="1"/>
    <xf numFmtId="38" fontId="9" fillId="0" borderId="0" xfId="0" applyNumberFormat="1" applyFont="1"/>
    <xf numFmtId="37" fontId="9" fillId="0" borderId="14" xfId="0" applyNumberFormat="1" applyFont="1" applyBorder="1"/>
    <xf numFmtId="37" fontId="9" fillId="0" borderId="16" xfId="0" applyNumberFormat="1" applyFont="1" applyBorder="1"/>
    <xf numFmtId="10" fontId="16" fillId="0" borderId="0" xfId="2" applyNumberFormat="1" applyFont="1" applyFill="1" applyBorder="1" applyAlignment="1">
      <alignment wrapText="1"/>
    </xf>
    <xf numFmtId="9" fontId="9" fillId="0" borderId="0" xfId="2" applyNumberFormat="1" applyFont="1"/>
    <xf numFmtId="37" fontId="8" fillId="0" borderId="24" xfId="0" applyNumberFormat="1" applyFont="1" applyFill="1" applyBorder="1" applyAlignment="1"/>
    <xf numFmtId="37" fontId="8" fillId="0" borderId="25" xfId="0" applyNumberFormat="1" applyFont="1" applyFill="1" applyBorder="1" applyAlignment="1"/>
    <xf numFmtId="9" fontId="16" fillId="0" borderId="0" xfId="2" applyFont="1" applyFill="1" applyBorder="1" applyAlignment="1">
      <alignment horizontal="left" wrapText="1"/>
    </xf>
    <xf numFmtId="10" fontId="16" fillId="0" borderId="0" xfId="2" applyNumberFormat="1" applyFont="1" applyAlignment="1">
      <alignment horizontal="left"/>
    </xf>
    <xf numFmtId="0" fontId="9" fillId="0" borderId="11" xfId="0" applyFont="1" applyBorder="1"/>
    <xf numFmtId="0" fontId="9" fillId="0" borderId="17" xfId="0" applyFont="1" applyBorder="1"/>
    <xf numFmtId="37" fontId="8" fillId="0" borderId="13" xfId="0" applyNumberFormat="1" applyFont="1" applyFill="1" applyBorder="1" applyAlignment="1">
      <alignment wrapText="1"/>
    </xf>
    <xf numFmtId="37" fontId="8" fillId="0" borderId="14" xfId="0" applyNumberFormat="1" applyFont="1" applyFill="1" applyBorder="1" applyAlignment="1"/>
    <xf numFmtId="38" fontId="9" fillId="0" borderId="16" xfId="0" applyNumberFormat="1" applyFont="1" applyBorder="1"/>
    <xf numFmtId="0" fontId="9" fillId="0" borderId="29" xfId="0" applyFont="1" applyBorder="1"/>
    <xf numFmtId="37" fontId="9" fillId="0" borderId="15" xfId="0" applyNumberFormat="1" applyFont="1" applyBorder="1"/>
    <xf numFmtId="37" fontId="9" fillId="0" borderId="0" xfId="0" applyNumberFormat="1" applyFont="1" applyFill="1" applyBorder="1" applyAlignment="1"/>
    <xf numFmtId="0" fontId="19" fillId="0" borderId="0" xfId="0" applyFont="1" applyFill="1" applyBorder="1" applyAlignment="1">
      <alignment wrapText="1"/>
    </xf>
    <xf numFmtId="9" fontId="9" fillId="0" borderId="0" xfId="2" applyFont="1" applyFill="1" applyBorder="1" applyAlignment="1"/>
    <xf numFmtId="0" fontId="7" fillId="0" borderId="0" xfId="0" applyFont="1" applyFill="1" applyBorder="1" applyAlignment="1">
      <alignment wrapText="1"/>
    </xf>
    <xf numFmtId="37" fontId="20" fillId="0" borderId="0" xfId="3" applyNumberFormat="1" applyFont="1"/>
    <xf numFmtId="37" fontId="5" fillId="0" borderId="0" xfId="3" applyNumberFormat="1"/>
    <xf numFmtId="37" fontId="5" fillId="0" borderId="0" xfId="3" applyNumberFormat="1" applyAlignment="1">
      <alignment horizontal="left"/>
    </xf>
    <xf numFmtId="37" fontId="21" fillId="0" borderId="0" xfId="3" applyNumberFormat="1" applyFont="1" applyFill="1"/>
    <xf numFmtId="37" fontId="22" fillId="0" borderId="0" xfId="3" applyNumberFormat="1" applyFont="1" applyAlignment="1">
      <alignment horizontal="center"/>
    </xf>
    <xf numFmtId="37" fontId="5" fillId="0" borderId="0" xfId="3" applyNumberFormat="1" applyFill="1"/>
    <xf numFmtId="37" fontId="5" fillId="0" borderId="0" xfId="3" applyNumberFormat="1" applyFont="1" applyAlignment="1">
      <alignment horizontal="left"/>
    </xf>
    <xf numFmtId="37" fontId="5" fillId="0" borderId="0" xfId="3" applyNumberFormat="1" applyFont="1"/>
    <xf numFmtId="37" fontId="23" fillId="0" borderId="0" xfId="3" applyNumberFormat="1" applyFont="1" applyFill="1"/>
    <xf numFmtId="37" fontId="5" fillId="0" borderId="33" xfId="3" applyNumberFormat="1" applyBorder="1" applyAlignment="1">
      <alignment horizontal="right"/>
    </xf>
    <xf numFmtId="37" fontId="5" fillId="0" borderId="33" xfId="3" applyNumberFormat="1" applyBorder="1"/>
    <xf numFmtId="37" fontId="20" fillId="0" borderId="33" xfId="3" applyNumberFormat="1" applyFont="1" applyBorder="1"/>
    <xf numFmtId="37" fontId="5" fillId="0" borderId="33" xfId="3" applyNumberFormat="1" applyBorder="1" applyAlignment="1">
      <alignment horizontal="left"/>
    </xf>
    <xf numFmtId="37" fontId="24" fillId="0" borderId="0" xfId="3" applyNumberFormat="1" applyFont="1" applyAlignment="1">
      <alignment horizontal="left"/>
    </xf>
    <xf numFmtId="37" fontId="5" fillId="0" borderId="0" xfId="3" applyNumberFormat="1" applyFont="1" applyFill="1" applyAlignment="1">
      <alignment horizontal="left"/>
    </xf>
    <xf numFmtId="37" fontId="15" fillId="0" borderId="0" xfId="3" applyNumberFormat="1" applyFont="1"/>
    <xf numFmtId="37" fontId="26" fillId="0" borderId="0" xfId="3" applyNumberFormat="1" applyFont="1"/>
    <xf numFmtId="37" fontId="26" fillId="0" borderId="0" xfId="3" applyNumberFormat="1" applyFont="1" applyAlignment="1">
      <alignment horizontal="left"/>
    </xf>
    <xf numFmtId="37" fontId="15" fillId="0" borderId="0" xfId="3" applyNumberFormat="1" applyFont="1" applyAlignment="1">
      <alignment horizontal="center"/>
    </xf>
    <xf numFmtId="37" fontId="27" fillId="0" borderId="0" xfId="3" applyNumberFormat="1" applyFont="1" applyFill="1"/>
    <xf numFmtId="37" fontId="15" fillId="0" borderId="0" xfId="3" applyNumberFormat="1" applyFont="1" applyAlignment="1" applyProtection="1">
      <alignment horizontal="center"/>
    </xf>
    <xf numFmtId="37" fontId="15" fillId="0" borderId="0" xfId="3" applyNumberFormat="1" applyFont="1" applyFill="1"/>
    <xf numFmtId="37" fontId="28" fillId="0" borderId="0" xfId="3" applyNumberFormat="1" applyFont="1" applyAlignment="1">
      <alignment horizontal="left"/>
    </xf>
    <xf numFmtId="37" fontId="26" fillId="0" borderId="0" xfId="3" applyFont="1"/>
    <xf numFmtId="37" fontId="15" fillId="0" borderId="0" xfId="3" applyNumberFormat="1" applyFont="1" applyAlignment="1">
      <alignment horizontal="left"/>
    </xf>
    <xf numFmtId="37" fontId="28" fillId="0" borderId="0" xfId="3" applyNumberFormat="1" applyFont="1"/>
    <xf numFmtId="37" fontId="29" fillId="0" borderId="0" xfId="3" applyNumberFormat="1" applyFont="1" applyFill="1" applyAlignment="1">
      <alignment horizontal="center"/>
    </xf>
    <xf numFmtId="37" fontId="29" fillId="0" borderId="0" xfId="3" applyNumberFormat="1" applyFont="1" applyAlignment="1">
      <alignment horizontal="center"/>
    </xf>
    <xf numFmtId="37" fontId="29" fillId="0" borderId="0" xfId="3" applyNumberFormat="1" applyFont="1"/>
    <xf numFmtId="37" fontId="29" fillId="0" borderId="0" xfId="3" applyNumberFormat="1" applyFont="1" applyAlignment="1">
      <alignment horizontal="right" vertical="justify"/>
    </xf>
    <xf numFmtId="0" fontId="9" fillId="0" borderId="0" xfId="0" applyFont="1" applyFill="1"/>
    <xf numFmtId="38" fontId="8" fillId="0" borderId="21" xfId="0" applyNumberFormat="1" applyFont="1" applyFill="1" applyBorder="1"/>
    <xf numFmtId="38" fontId="8" fillId="0" borderId="22" xfId="0" applyNumberFormat="1" applyFont="1" applyFill="1" applyBorder="1"/>
    <xf numFmtId="37" fontId="26" fillId="0" borderId="0" xfId="3" applyNumberFormat="1" applyFont="1" applyFill="1"/>
    <xf numFmtId="37" fontId="26" fillId="0" borderId="33" xfId="3" applyNumberFormat="1" applyFont="1" applyBorder="1" applyAlignment="1">
      <alignment horizontal="right"/>
    </xf>
    <xf numFmtId="37" fontId="26" fillId="0" borderId="33" xfId="3" applyNumberFormat="1" applyFont="1" applyBorder="1"/>
    <xf numFmtId="37" fontId="15" fillId="0" borderId="33" xfId="3" applyNumberFormat="1" applyFont="1" applyBorder="1"/>
    <xf numFmtId="37" fontId="15" fillId="0" borderId="0" xfId="3" quotePrefix="1" applyNumberFormat="1" applyFont="1" applyAlignment="1">
      <alignment horizontal="left"/>
    </xf>
    <xf numFmtId="37" fontId="29" fillId="0" borderId="0" xfId="3" applyNumberFormat="1" applyFont="1" applyAlignment="1">
      <alignment horizontal="left"/>
    </xf>
    <xf numFmtId="37" fontId="15" fillId="0" borderId="0" xfId="3" applyFont="1"/>
    <xf numFmtId="37" fontId="30" fillId="0" borderId="33" xfId="3" applyNumberFormat="1" applyFont="1" applyBorder="1"/>
    <xf numFmtId="37" fontId="25" fillId="0" borderId="0" xfId="3" applyNumberFormat="1" applyFont="1"/>
    <xf numFmtId="37" fontId="25" fillId="0" borderId="0" xfId="3" applyNumberFormat="1" applyFont="1" applyFill="1"/>
    <xf numFmtId="37" fontId="25" fillId="0" borderId="33" xfId="3" applyNumberFormat="1" applyFont="1" applyBorder="1" applyAlignment="1">
      <alignment horizontal="right"/>
    </xf>
    <xf numFmtId="37" fontId="25" fillId="0" borderId="17" xfId="3" applyNumberFormat="1" applyFont="1" applyBorder="1"/>
    <xf numFmtId="37" fontId="30" fillId="0" borderId="0" xfId="3" applyNumberFormat="1" applyFont="1"/>
    <xf numFmtId="37" fontId="25" fillId="0" borderId="0" xfId="3" applyNumberFormat="1" applyFont="1" applyBorder="1" applyAlignment="1">
      <alignment horizontal="left"/>
    </xf>
    <xf numFmtId="37" fontId="25" fillId="0" borderId="0" xfId="3" applyNumberFormat="1" applyFont="1" applyBorder="1"/>
    <xf numFmtId="37" fontId="30" fillId="0" borderId="17" xfId="3" applyNumberFormat="1" applyFont="1" applyBorder="1"/>
    <xf numFmtId="37" fontId="30" fillId="0" borderId="27" xfId="3" applyNumberFormat="1" applyFont="1" applyBorder="1"/>
    <xf numFmtId="0" fontId="16" fillId="0" borderId="0" xfId="0" applyFont="1" applyFill="1"/>
    <xf numFmtId="0" fontId="16" fillId="0" borderId="0" xfId="0" applyFont="1" applyFill="1" applyBorder="1" applyAlignment="1">
      <alignment horizontal="left" wrapText="1"/>
    </xf>
    <xf numFmtId="0" fontId="8" fillId="0" borderId="37" xfId="0" applyFont="1" applyFill="1" applyBorder="1" applyAlignment="1">
      <alignment horizontal="center"/>
    </xf>
    <xf numFmtId="0" fontId="9" fillId="0" borderId="35" xfId="0" applyFont="1" applyFill="1" applyBorder="1" applyAlignment="1"/>
    <xf numFmtId="0" fontId="10" fillId="0" borderId="35" xfId="0" applyFont="1" applyFill="1" applyBorder="1" applyAlignment="1"/>
    <xf numFmtId="0" fontId="10" fillId="0" borderId="36" xfId="0" applyFont="1" applyFill="1" applyBorder="1" applyAlignment="1"/>
    <xf numFmtId="49" fontId="12" fillId="0" borderId="0" xfId="0" applyNumberFormat="1" applyFont="1" applyBorder="1" applyAlignment="1">
      <alignment horizontal="left" vertical="top"/>
    </xf>
    <xf numFmtId="0" fontId="9" fillId="0" borderId="34" xfId="0" applyFont="1" applyBorder="1"/>
    <xf numFmtId="0" fontId="9" fillId="0" borderId="11" xfId="0" applyFont="1" applyFill="1" applyBorder="1" applyAlignment="1"/>
    <xf numFmtId="38" fontId="8" fillId="0" borderId="11" xfId="0" applyNumberFormat="1" applyFont="1" applyFill="1" applyBorder="1" applyAlignment="1"/>
    <xf numFmtId="0" fontId="7" fillId="0" borderId="0" xfId="0" applyFont="1" applyFill="1" applyBorder="1" applyAlignment="1">
      <alignment horizontal="left" wrapText="1"/>
    </xf>
    <xf numFmtId="9" fontId="19" fillId="0" borderId="0" xfId="2" applyFont="1" applyFill="1" applyBorder="1" applyAlignment="1">
      <alignment wrapText="1"/>
    </xf>
    <xf numFmtId="0" fontId="31" fillId="0" borderId="0" xfId="0" applyFont="1"/>
    <xf numFmtId="37" fontId="25" fillId="0" borderId="0" xfId="0" applyNumberFormat="1" applyFont="1" applyFill="1" applyBorder="1" applyAlignment="1"/>
    <xf numFmtId="0" fontId="16" fillId="0" borderId="0" xfId="0" applyFont="1"/>
    <xf numFmtId="37" fontId="25" fillId="0" borderId="15" xfId="0" applyNumberFormat="1" applyFont="1" applyFill="1" applyBorder="1" applyAlignment="1"/>
    <xf numFmtId="37" fontId="25" fillId="0" borderId="16" xfId="0" applyNumberFormat="1" applyFont="1" applyFill="1" applyBorder="1" applyAlignment="1"/>
    <xf numFmtId="0" fontId="0" fillId="0" borderId="0" xfId="0" applyFont="1" applyFill="1" applyBorder="1" applyAlignment="1"/>
    <xf numFmtId="38" fontId="0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37" fontId="4" fillId="0" borderId="15" xfId="0" applyNumberFormat="1" applyFont="1" applyFill="1" applyBorder="1" applyAlignment="1"/>
    <xf numFmtId="0" fontId="0" fillId="0" borderId="0" xfId="0" applyFont="1"/>
    <xf numFmtId="164" fontId="25" fillId="0" borderId="15" xfId="0" applyNumberFormat="1" applyFont="1" applyFill="1" applyBorder="1" applyAlignment="1"/>
    <xf numFmtId="164" fontId="25" fillId="0" borderId="0" xfId="0" applyNumberFormat="1" applyFont="1" applyFill="1" applyBorder="1" applyAlignment="1"/>
    <xf numFmtId="37" fontId="25" fillId="0" borderId="18" xfId="0" applyNumberFormat="1" applyFont="1" applyFill="1" applyBorder="1" applyAlignment="1"/>
    <xf numFmtId="37" fontId="25" fillId="0" borderId="17" xfId="0" applyNumberFormat="1" applyFont="1" applyFill="1" applyBorder="1" applyAlignment="1"/>
    <xf numFmtId="37" fontId="25" fillId="0" borderId="19" xfId="0" applyNumberFormat="1" applyFont="1" applyFill="1" applyBorder="1" applyAlignment="1"/>
    <xf numFmtId="37" fontId="4" fillId="0" borderId="18" xfId="0" applyNumberFormat="1" applyFont="1" applyFill="1" applyBorder="1" applyAlignment="1"/>
    <xf numFmtId="37" fontId="8" fillId="0" borderId="11" xfId="0" applyNumberFormat="1" applyFont="1" applyFill="1" applyBorder="1" applyAlignment="1"/>
    <xf numFmtId="37" fontId="8" fillId="0" borderId="21" xfId="0" applyNumberFormat="1" applyFont="1" applyFill="1" applyBorder="1" applyAlignment="1"/>
    <xf numFmtId="37" fontId="8" fillId="0" borderId="21" xfId="0" applyNumberFormat="1" applyFont="1" applyFill="1" applyBorder="1"/>
    <xf numFmtId="37" fontId="8" fillId="0" borderId="22" xfId="0" applyNumberFormat="1" applyFont="1" applyFill="1" applyBorder="1"/>
    <xf numFmtId="37" fontId="11" fillId="3" borderId="29" xfId="0" applyNumberFormat="1" applyFont="1" applyFill="1" applyBorder="1" applyAlignment="1"/>
    <xf numFmtId="0" fontId="9" fillId="3" borderId="38" xfId="0" applyFont="1" applyFill="1" applyBorder="1" applyAlignment="1"/>
    <xf numFmtId="38" fontId="8" fillId="3" borderId="38" xfId="0" applyNumberFormat="1" applyFont="1" applyFill="1" applyBorder="1" applyAlignment="1"/>
    <xf numFmtId="37" fontId="11" fillId="3" borderId="38" xfId="0" applyNumberFormat="1" applyFont="1" applyFill="1" applyBorder="1" applyAlignment="1"/>
    <xf numFmtId="37" fontId="11" fillId="3" borderId="30" xfId="0" applyNumberFormat="1" applyFont="1" applyFill="1" applyBorder="1" applyAlignment="1"/>
    <xf numFmtId="44" fontId="8" fillId="0" borderId="0" xfId="10" applyFont="1" applyFill="1" applyBorder="1" applyAlignment="1">
      <alignment horizontal="center"/>
    </xf>
    <xf numFmtId="37" fontId="32" fillId="0" borderId="15" xfId="0" applyNumberFormat="1" applyFont="1" applyFill="1" applyBorder="1" applyAlignment="1"/>
    <xf numFmtId="38" fontId="32" fillId="0" borderId="15" xfId="0" applyNumberFormat="1" applyFont="1" applyFill="1" applyBorder="1" applyAlignment="1"/>
    <xf numFmtId="0" fontId="26" fillId="0" borderId="0" xfId="0" applyFont="1"/>
    <xf numFmtId="38" fontId="32" fillId="0" borderId="18" xfId="0" applyNumberFormat="1" applyFont="1" applyFill="1" applyBorder="1" applyAlignment="1"/>
    <xf numFmtId="37" fontId="32" fillId="0" borderId="15" xfId="0" applyNumberFormat="1" applyFont="1" applyFill="1" applyBorder="1" applyAlignment="1">
      <alignment wrapText="1"/>
    </xf>
    <xf numFmtId="38" fontId="9" fillId="0" borderId="31" xfId="0" applyNumberFormat="1" applyFont="1" applyFill="1" applyBorder="1" applyAlignment="1"/>
    <xf numFmtId="38" fontId="9" fillId="0" borderId="32" xfId="0" applyNumberFormat="1" applyFont="1" applyFill="1" applyBorder="1" applyAlignment="1"/>
    <xf numFmtId="0" fontId="34" fillId="0" borderId="0" xfId="0" applyFont="1" applyFill="1" applyBorder="1" applyAlignment="1">
      <alignment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11">
    <cellStyle name="Comma" xfId="1" builtinId="3"/>
    <cellStyle name="Comma 2" xfId="4"/>
    <cellStyle name="Currency" xfId="10" builtinId="4"/>
    <cellStyle name="Currency 2" xfId="5"/>
    <cellStyle name="Normal" xfId="0" builtinId="0"/>
    <cellStyle name="Normal 2" xfId="3"/>
    <cellStyle name="Normal 2 2" xfId="6"/>
    <cellStyle name="Normal 3" xfId="7"/>
    <cellStyle name="Normal 4" xfId="8"/>
    <cellStyle name="Normal 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udget%202017\JCHA%20Final%20Budge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berts.JEFFCO/AppData/Local/Microsoft/Windows/Temporary%20Internet%20Files/Content.Outlook/1Y91RW23/Aspen%20Budget%20Projectio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Rollup"/>
      <sheetName val="JCHA "/>
      <sheetName val="Vouchers"/>
      <sheetName val="Canyon Gate"/>
      <sheetName val="Green Ridge"/>
      <sheetName val="Caesar Sq"/>
      <sheetName val="Mtn View"/>
      <sheetName val="Kendall Apts"/>
      <sheetName val="Viking Sq"/>
      <sheetName val="Aspen Ridge"/>
      <sheetName val="Redwood Village"/>
      <sheetName val="Rehab"/>
      <sheetName val="Glendale"/>
      <sheetName val="Harlan"/>
      <sheetName val="Lewis Ct"/>
      <sheetName val="Lewis Ct NOI"/>
      <sheetName val="Lewis Ct CF"/>
      <sheetName val="Tax Analysis"/>
      <sheetName val="2013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9">
          <cell r="E99">
            <v>115859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Aspen Ridge"/>
    </sheetNames>
    <sheetDataSet>
      <sheetData sheetId="0"/>
      <sheetData sheetId="1"/>
      <sheetData sheetId="2">
        <row r="2">
          <cell r="C2">
            <v>-813401.4</v>
          </cell>
          <cell r="D2">
            <v>-847850.13</v>
          </cell>
          <cell r="E2">
            <v>-890147.56</v>
          </cell>
        </row>
        <row r="3">
          <cell r="C3">
            <v>-79030.17</v>
          </cell>
          <cell r="D3">
            <v>-78911.39</v>
          </cell>
          <cell r="E3">
            <v>-81969.62</v>
          </cell>
        </row>
        <row r="4">
          <cell r="C4">
            <v>18104.47</v>
          </cell>
          <cell r="D4">
            <v>12734.69</v>
          </cell>
          <cell r="E4">
            <v>13463.220000000001</v>
          </cell>
        </row>
        <row r="5">
          <cell r="C5">
            <v>-157.08000000000001</v>
          </cell>
          <cell r="D5">
            <v>-222.05</v>
          </cell>
          <cell r="E5">
            <v>-157.84</v>
          </cell>
        </row>
        <row r="6">
          <cell r="C6">
            <v>-7347.66</v>
          </cell>
          <cell r="D6">
            <v>-6974.92</v>
          </cell>
          <cell r="E6">
            <v>-7930.52</v>
          </cell>
        </row>
        <row r="7">
          <cell r="C7">
            <v>-2949</v>
          </cell>
          <cell r="D7">
            <v>-1900</v>
          </cell>
          <cell r="E7">
            <v>-2170</v>
          </cell>
        </row>
        <row r="8">
          <cell r="C8">
            <v>-1620</v>
          </cell>
          <cell r="D8">
            <v>-1530</v>
          </cell>
          <cell r="E8">
            <v>-3120</v>
          </cell>
        </row>
        <row r="9">
          <cell r="C9">
            <v>-14815.96</v>
          </cell>
          <cell r="D9">
            <v>-4098.05</v>
          </cell>
          <cell r="E9">
            <v>-10628.560000000001</v>
          </cell>
        </row>
        <row r="10">
          <cell r="C10">
            <v>3770</v>
          </cell>
          <cell r="D10">
            <v>1775.7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15235.239999999998</v>
          </cell>
        </row>
        <row r="12">
          <cell r="C12">
            <v>1733.92</v>
          </cell>
          <cell r="D12">
            <v>1709.33</v>
          </cell>
          <cell r="E12">
            <v>821.28</v>
          </cell>
        </row>
        <row r="13">
          <cell r="C13">
            <v>0</v>
          </cell>
          <cell r="D13">
            <v>892.5</v>
          </cell>
          <cell r="E13">
            <v>2474</v>
          </cell>
        </row>
        <row r="14">
          <cell r="C14">
            <v>0</v>
          </cell>
          <cell r="D14">
            <v>0</v>
          </cell>
          <cell r="E14">
            <v>2467.6</v>
          </cell>
        </row>
        <row r="15">
          <cell r="C15">
            <v>0</v>
          </cell>
          <cell r="D15">
            <v>0</v>
          </cell>
          <cell r="E15">
            <v>2460.48</v>
          </cell>
        </row>
        <row r="17">
          <cell r="C17">
            <v>49623</v>
          </cell>
          <cell r="D17">
            <v>49568</v>
          </cell>
          <cell r="E17">
            <v>53596</v>
          </cell>
        </row>
        <row r="18">
          <cell r="C18">
            <v>2217.6999999999998</v>
          </cell>
          <cell r="D18">
            <v>516.79999999999995</v>
          </cell>
          <cell r="E18">
            <v>0</v>
          </cell>
        </row>
        <row r="19">
          <cell r="C19">
            <v>549.69000000000005</v>
          </cell>
          <cell r="D19">
            <v>753.94</v>
          </cell>
          <cell r="E19">
            <v>3309.7799999999997</v>
          </cell>
        </row>
        <row r="20">
          <cell r="C20">
            <v>5605.22</v>
          </cell>
          <cell r="D20">
            <v>5520.62</v>
          </cell>
          <cell r="E20">
            <v>5023.0599999999995</v>
          </cell>
        </row>
        <row r="21">
          <cell r="C21">
            <v>521.6</v>
          </cell>
          <cell r="D21">
            <v>908.54</v>
          </cell>
          <cell r="E21">
            <v>905.24</v>
          </cell>
        </row>
        <row r="22">
          <cell r="C22">
            <v>3389.51</v>
          </cell>
          <cell r="D22">
            <v>2035.5</v>
          </cell>
          <cell r="E22">
            <v>1948.88</v>
          </cell>
        </row>
        <row r="23">
          <cell r="C23">
            <v>6277.9</v>
          </cell>
          <cell r="D23">
            <v>5475.95</v>
          </cell>
          <cell r="E23">
            <v>1198.94</v>
          </cell>
        </row>
        <row r="24">
          <cell r="C24">
            <v>1670.4</v>
          </cell>
          <cell r="D24">
            <v>1525.3</v>
          </cell>
          <cell r="E24">
            <v>807.38</v>
          </cell>
        </row>
        <row r="25">
          <cell r="C25">
            <v>11123.26</v>
          </cell>
          <cell r="D25">
            <v>9829.84</v>
          </cell>
          <cell r="E25">
            <v>9275.7200000000012</v>
          </cell>
        </row>
        <row r="26">
          <cell r="C26">
            <v>20278.900000000001</v>
          </cell>
          <cell r="D26">
            <v>21195.55</v>
          </cell>
          <cell r="E26">
            <v>20300.62</v>
          </cell>
        </row>
        <row r="27">
          <cell r="C27">
            <v>24733.14</v>
          </cell>
          <cell r="D27">
            <v>32126.22</v>
          </cell>
          <cell r="E27">
            <v>37912.06</v>
          </cell>
        </row>
        <row r="28">
          <cell r="C28">
            <v>24100.32</v>
          </cell>
          <cell r="D28">
            <v>25397.62</v>
          </cell>
          <cell r="E28">
            <v>26804.080000000002</v>
          </cell>
        </row>
        <row r="29">
          <cell r="C29">
            <v>190.8</v>
          </cell>
          <cell r="D29">
            <v>319.58999999999997</v>
          </cell>
          <cell r="E29">
            <v>425.95999999999992</v>
          </cell>
        </row>
        <row r="30">
          <cell r="C30">
            <v>25718</v>
          </cell>
          <cell r="D30">
            <v>30358</v>
          </cell>
          <cell r="E30">
            <v>23882</v>
          </cell>
        </row>
        <row r="31">
          <cell r="C31">
            <v>1512</v>
          </cell>
          <cell r="D31">
            <v>1512</v>
          </cell>
          <cell r="E31">
            <v>1428</v>
          </cell>
        </row>
        <row r="32">
          <cell r="C32">
            <v>4840</v>
          </cell>
          <cell r="D32">
            <v>5734.25</v>
          </cell>
          <cell r="E32">
            <v>6036.2000000000007</v>
          </cell>
        </row>
        <row r="33">
          <cell r="C33">
            <v>1908.26</v>
          </cell>
          <cell r="D33">
            <v>1572.63</v>
          </cell>
          <cell r="E33">
            <v>1980.64</v>
          </cell>
        </row>
        <row r="34">
          <cell r="C34">
            <v>14680</v>
          </cell>
          <cell r="D34">
            <v>1435</v>
          </cell>
          <cell r="E34">
            <v>960</v>
          </cell>
        </row>
        <row r="35">
          <cell r="C35">
            <v>6464.37</v>
          </cell>
          <cell r="D35">
            <v>11414.54</v>
          </cell>
          <cell r="E35">
            <v>11985.439999999999</v>
          </cell>
        </row>
        <row r="36">
          <cell r="C36">
            <v>84831.6</v>
          </cell>
          <cell r="D36">
            <v>57153.19</v>
          </cell>
          <cell r="E36">
            <v>50530</v>
          </cell>
        </row>
        <row r="37">
          <cell r="C37">
            <v>21907.8</v>
          </cell>
          <cell r="D37">
            <v>20160.22</v>
          </cell>
          <cell r="E37">
            <v>26433.219999999998</v>
          </cell>
        </row>
        <row r="38">
          <cell r="C38">
            <v>24064.560000000001</v>
          </cell>
          <cell r="D38">
            <v>37520.660000000003</v>
          </cell>
          <cell r="E38">
            <v>44495.34</v>
          </cell>
        </row>
        <row r="39">
          <cell r="C39">
            <v>8911.11</v>
          </cell>
          <cell r="D39">
            <v>18302.13</v>
          </cell>
          <cell r="E39">
            <v>11760</v>
          </cell>
        </row>
        <row r="41">
          <cell r="C41">
            <v>0</v>
          </cell>
          <cell r="D41">
            <v>6533.78</v>
          </cell>
          <cell r="E41">
            <v>8525.2000000000007</v>
          </cell>
        </row>
        <row r="42">
          <cell r="C42">
            <v>33847.06</v>
          </cell>
          <cell r="D42">
            <v>26403.360000000001</v>
          </cell>
          <cell r="E42">
            <v>54984.08</v>
          </cell>
        </row>
        <row r="43">
          <cell r="C43">
            <v>47634.32</v>
          </cell>
          <cell r="D43">
            <v>40169.54</v>
          </cell>
          <cell r="E43">
            <v>23072.58</v>
          </cell>
        </row>
        <row r="44">
          <cell r="C44">
            <v>1111</v>
          </cell>
          <cell r="D44">
            <v>1718.88</v>
          </cell>
          <cell r="E44">
            <v>0</v>
          </cell>
        </row>
        <row r="46">
          <cell r="C46">
            <v>17775.009999999998</v>
          </cell>
          <cell r="D46">
            <v>3217.33</v>
          </cell>
          <cell r="E46">
            <v>28641.82</v>
          </cell>
        </row>
        <row r="47">
          <cell r="C47">
            <v>0</v>
          </cell>
          <cell r="D47">
            <v>8066.62</v>
          </cell>
          <cell r="E47">
            <v>2574.36</v>
          </cell>
        </row>
        <row r="49">
          <cell r="C49">
            <v>133434.13</v>
          </cell>
          <cell r="D49">
            <v>134969.98000000001</v>
          </cell>
          <cell r="E49">
            <v>134945.35999999999</v>
          </cell>
        </row>
        <row r="50">
          <cell r="C50">
            <v>31513.81</v>
          </cell>
          <cell r="D50">
            <v>31500</v>
          </cell>
          <cell r="E50">
            <v>31500</v>
          </cell>
        </row>
        <row r="52">
          <cell r="C52">
            <v>0</v>
          </cell>
          <cell r="D52">
            <v>37376.31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29080</v>
          </cell>
          <cell r="D54">
            <v>53220</v>
          </cell>
          <cell r="E54">
            <v>0</v>
          </cell>
        </row>
        <row r="55">
          <cell r="C55">
            <v>1236.75</v>
          </cell>
          <cell r="D55">
            <v>2927.27</v>
          </cell>
          <cell r="E55">
            <v>3176.26</v>
          </cell>
        </row>
        <row r="56">
          <cell r="C56">
            <v>10879</v>
          </cell>
          <cell r="D56">
            <v>7982</v>
          </cell>
          <cell r="E56">
            <v>11406.86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14819.99</v>
          </cell>
          <cell r="D58">
            <v>26376.28</v>
          </cell>
          <cell r="E58">
            <v>23506.619999999995</v>
          </cell>
        </row>
        <row r="59">
          <cell r="C59">
            <v>2044</v>
          </cell>
          <cell r="D59">
            <v>0</v>
          </cell>
          <cell r="E59">
            <v>0</v>
          </cell>
        </row>
      </sheetData>
      <sheetData sheetId="3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9741977-EE4E-482D-8CA2-91A7554B5EF3}" diskRevisions="1" revisionId="1" version="2" protected="1">
  <header guid="{5FF38946-FF3A-4163-8BC0-2CBC87313D4B}" dateTime="2017-02-03T14:57:28" maxSheetId="18" userName="Keith Roberts" r:id="rId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B9741977-EE4E-482D-8CA2-91A7554B5EF3}" dateTime="2017-02-03T14:57:38" maxSheetId="18" userName="Keith Roberts" r:id="rId2" minRId="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4" numFmtId="4">
    <oc r="I47">
      <v>10130</v>
    </oc>
    <nc r="I47">
      <v>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opLeftCell="A4" workbookViewId="0">
      <pane xSplit="1" ySplit="8" topLeftCell="B174" activePane="bottomRight" state="frozen"/>
      <selection activeCell="C63" sqref="C63"/>
      <selection pane="topRight" activeCell="C63" sqref="C63"/>
      <selection pane="bottomLeft" activeCell="C63" sqref="C63"/>
      <selection pane="bottomRight" activeCell="E25" sqref="E25"/>
    </sheetView>
  </sheetViews>
  <sheetFormatPr defaultRowHeight="12.75" x14ac:dyDescent="0.2"/>
  <cols>
    <col min="1" max="1" width="48.5703125" style="179" customWidth="1"/>
    <col min="2" max="2" width="7.42578125" style="179" customWidth="1"/>
    <col min="3" max="3" width="13.7109375" style="179" customWidth="1"/>
    <col min="4" max="4" width="4.5703125" style="179" customWidth="1"/>
    <col min="5" max="6" width="13.7109375" style="179" customWidth="1"/>
    <col min="7" max="7" width="5.7109375" style="179" customWidth="1"/>
    <col min="8" max="8" width="14.7109375" style="179" customWidth="1"/>
    <col min="9" max="9" width="13.7109375" style="179" customWidth="1"/>
    <col min="10" max="10" width="10.7109375" style="179" customWidth="1"/>
    <col min="11" max="11" width="63" style="180" bestFit="1" customWidth="1"/>
    <col min="12" max="12" width="36" style="179" customWidth="1"/>
    <col min="13" max="13" width="9.28515625" style="179" bestFit="1" customWidth="1"/>
    <col min="14" max="16384" width="9.140625" style="179"/>
  </cols>
  <sheetData>
    <row r="1" spans="1:11" s="194" customFormat="1" ht="15" x14ac:dyDescent="0.25">
      <c r="A1" s="193"/>
      <c r="B1" s="193"/>
      <c r="C1" s="193"/>
      <c r="D1" s="193"/>
      <c r="E1" s="193"/>
      <c r="F1" s="193"/>
      <c r="G1" s="193"/>
      <c r="K1" s="195"/>
    </row>
    <row r="2" spans="1:11" s="194" customFormat="1" ht="15" x14ac:dyDescent="0.25">
      <c r="A2" s="193"/>
      <c r="B2" s="193"/>
      <c r="C2" s="193"/>
      <c r="D2" s="193"/>
      <c r="E2" s="196" t="s">
        <v>465</v>
      </c>
      <c r="F2" s="193"/>
      <c r="G2" s="193"/>
      <c r="K2" s="195"/>
    </row>
    <row r="3" spans="1:11" s="194" customFormat="1" ht="15" x14ac:dyDescent="0.25">
      <c r="A3" s="197"/>
      <c r="B3" s="193"/>
      <c r="C3" s="196"/>
      <c r="D3" s="193"/>
      <c r="E3" s="196" t="s">
        <v>458</v>
      </c>
      <c r="F3" s="193"/>
      <c r="G3" s="193"/>
      <c r="K3" s="195"/>
    </row>
    <row r="4" spans="1:11" s="194" customFormat="1" ht="15" x14ac:dyDescent="0.25">
      <c r="A4" s="197"/>
      <c r="B4" s="193"/>
      <c r="C4" s="198"/>
      <c r="D4" s="196"/>
      <c r="E4" s="198" t="s">
        <v>582</v>
      </c>
      <c r="F4" s="196"/>
      <c r="G4" s="196"/>
      <c r="K4" s="195"/>
    </row>
    <row r="5" spans="1:11" s="194" customFormat="1" ht="15" x14ac:dyDescent="0.25">
      <c r="A5" s="199"/>
      <c r="B5" s="193"/>
      <c r="C5" s="196"/>
      <c r="D5" s="196"/>
      <c r="E5" s="196"/>
      <c r="F5" s="196"/>
      <c r="G5" s="196"/>
      <c r="H5" s="197"/>
      <c r="K5" s="200"/>
    </row>
    <row r="6" spans="1:11" s="194" customFormat="1" ht="15" x14ac:dyDescent="0.25">
      <c r="A6" s="199"/>
      <c r="B6" s="193"/>
      <c r="C6" s="201"/>
      <c r="D6" s="201"/>
      <c r="E6" s="201"/>
      <c r="F6" s="201"/>
      <c r="G6" s="196"/>
      <c r="H6" s="196" t="s">
        <v>459</v>
      </c>
      <c r="I6" s="196" t="s">
        <v>459</v>
      </c>
      <c r="J6" s="196"/>
      <c r="K6" s="195"/>
    </row>
    <row r="7" spans="1:11" s="194" customFormat="1" ht="15" x14ac:dyDescent="0.25">
      <c r="A7" s="193"/>
      <c r="B7" s="193"/>
      <c r="C7" s="198" t="s">
        <v>460</v>
      </c>
      <c r="D7" s="198"/>
      <c r="E7" s="198" t="s">
        <v>460</v>
      </c>
      <c r="F7" s="198" t="s">
        <v>460</v>
      </c>
      <c r="G7" s="193"/>
      <c r="H7" s="196"/>
      <c r="I7" s="196" t="s">
        <v>461</v>
      </c>
      <c r="J7" s="196"/>
      <c r="K7" s="202"/>
    </row>
    <row r="8" spans="1:11" s="194" customFormat="1" ht="15" x14ac:dyDescent="0.25">
      <c r="A8" s="203"/>
      <c r="C8" s="204" t="s">
        <v>467</v>
      </c>
      <c r="D8" s="205"/>
      <c r="E8" s="204" t="s">
        <v>579</v>
      </c>
      <c r="F8" s="204" t="s">
        <v>579</v>
      </c>
      <c r="G8" s="205"/>
      <c r="H8" s="205" t="s">
        <v>467</v>
      </c>
      <c r="I8" s="205" t="s">
        <v>467</v>
      </c>
      <c r="J8" s="205"/>
      <c r="K8" s="195"/>
    </row>
    <row r="9" spans="1:11" s="194" customFormat="1" ht="12.6" customHeight="1" x14ac:dyDescent="0.25">
      <c r="A9" s="197"/>
      <c r="C9" s="204" t="s">
        <v>462</v>
      </c>
      <c r="D9" s="205"/>
      <c r="E9" s="204" t="s">
        <v>462</v>
      </c>
      <c r="F9" s="204" t="s">
        <v>463</v>
      </c>
      <c r="G9" s="205"/>
      <c r="H9" s="205" t="s">
        <v>521</v>
      </c>
      <c r="I9" s="205" t="s">
        <v>580</v>
      </c>
      <c r="J9" s="205"/>
      <c r="K9" s="195"/>
    </row>
    <row r="10" spans="1:11" s="194" customFormat="1" ht="12.6" customHeight="1" x14ac:dyDescent="0.25">
      <c r="A10" s="206"/>
      <c r="C10" s="204"/>
      <c r="D10" s="205"/>
      <c r="E10" s="204"/>
      <c r="F10" s="204"/>
      <c r="G10" s="205"/>
      <c r="H10" s="207"/>
      <c r="I10" s="205"/>
      <c r="J10" s="205"/>
      <c r="K10" s="195"/>
    </row>
    <row r="11" spans="1:11" s="194" customFormat="1" ht="15" x14ac:dyDescent="0.25">
      <c r="A11" s="206" t="s">
        <v>484</v>
      </c>
      <c r="C11" s="205"/>
      <c r="D11" s="205"/>
      <c r="E11" s="205"/>
      <c r="F11" s="205"/>
      <c r="G11" s="205"/>
      <c r="H11" s="207"/>
      <c r="K11" s="195"/>
    </row>
    <row r="12" spans="1:11" ht="15" x14ac:dyDescent="0.25">
      <c r="A12" s="194" t="s">
        <v>466</v>
      </c>
      <c r="B12" s="194"/>
      <c r="C12" s="220">
        <f>'Kendall Apts'!D11</f>
        <v>150640</v>
      </c>
      <c r="D12" s="220"/>
      <c r="E12" s="220">
        <f>'Kendall Apts'!I11</f>
        <v>157620</v>
      </c>
      <c r="F12" s="220">
        <f>'Kendall Apts'!J11</f>
        <v>13135</v>
      </c>
      <c r="G12" s="220"/>
      <c r="H12" s="220">
        <f>'Kendall Apts'!G11</f>
        <v>13238.444444444443</v>
      </c>
      <c r="I12" s="220">
        <f>'Kendall Apts'!E11</f>
        <v>119146</v>
      </c>
      <c r="J12" s="183"/>
    </row>
    <row r="13" spans="1:11" ht="15" x14ac:dyDescent="0.25">
      <c r="A13" s="194" t="s">
        <v>468</v>
      </c>
      <c r="B13" s="194"/>
      <c r="C13" s="220">
        <f>'Mtn View'!D12</f>
        <v>126760</v>
      </c>
      <c r="D13" s="220"/>
      <c r="E13" s="220">
        <f>'Mtn View'!I12</f>
        <v>104990.3</v>
      </c>
      <c r="F13" s="220">
        <f>'Mtn View'!J12</f>
        <v>8749.1916666666675</v>
      </c>
      <c r="G13" s="220"/>
      <c r="H13" s="220">
        <f>'Mtn View'!F12</f>
        <v>8743.1111111111095</v>
      </c>
      <c r="I13" s="220">
        <f>'Mtn View'!E12</f>
        <v>78688</v>
      </c>
      <c r="J13" s="183"/>
    </row>
    <row r="14" spans="1:11" ht="15" x14ac:dyDescent="0.25">
      <c r="A14" s="194" t="s">
        <v>469</v>
      </c>
      <c r="B14" s="194"/>
      <c r="C14" s="219">
        <f>Vouchers!D12</f>
        <v>11225890</v>
      </c>
      <c r="D14" s="219"/>
      <c r="E14" s="219">
        <f>Vouchers!I12</f>
        <v>12339280</v>
      </c>
      <c r="F14" s="219">
        <f>Vouchers!J12</f>
        <v>1028273.3333333333</v>
      </c>
      <c r="G14" s="219"/>
      <c r="H14" s="219">
        <f>Vouchers!F12</f>
        <v>1037834.3333333334</v>
      </c>
      <c r="I14" s="219">
        <f>Vouchers!E12</f>
        <v>9340509</v>
      </c>
      <c r="K14" s="184"/>
    </row>
    <row r="15" spans="1:11" ht="15" x14ac:dyDescent="0.25">
      <c r="A15" s="195" t="s">
        <v>470</v>
      </c>
      <c r="B15" s="194"/>
      <c r="C15" s="219">
        <f>Rehab!D15</f>
        <v>516310</v>
      </c>
      <c r="D15" s="219"/>
      <c r="E15" s="219">
        <f>Rehab!I15</f>
        <v>665450</v>
      </c>
      <c r="F15" s="219">
        <f>Rehab!J15</f>
        <v>55454.166666666664</v>
      </c>
      <c r="G15" s="219"/>
      <c r="H15" s="219">
        <f>Rehab!F15</f>
        <v>39688.333333333336</v>
      </c>
      <c r="I15" s="219">
        <f>Rehab!E15</f>
        <v>357195</v>
      </c>
      <c r="K15" s="184"/>
    </row>
    <row r="16" spans="1:11" ht="15" x14ac:dyDescent="0.25">
      <c r="A16" s="195" t="s">
        <v>233</v>
      </c>
      <c r="B16" s="194"/>
      <c r="C16" s="219">
        <f>'Caesar Sq'!D18</f>
        <v>958420</v>
      </c>
      <c r="D16" s="219"/>
      <c r="E16" s="219">
        <f>'Caesar Sq'!I18</f>
        <v>1014420</v>
      </c>
      <c r="F16" s="219">
        <f>'Caesar Sq'!J18</f>
        <v>84535</v>
      </c>
      <c r="G16" s="219"/>
      <c r="H16" s="219">
        <f>'Caesar Sq'!F18</f>
        <v>84738.333333333328</v>
      </c>
      <c r="I16" s="219">
        <f>'Caesar Sq'!E18</f>
        <v>762645</v>
      </c>
      <c r="K16" s="184"/>
    </row>
    <row r="17" spans="1:11" ht="15" x14ac:dyDescent="0.25">
      <c r="A17" s="195" t="s">
        <v>471</v>
      </c>
      <c r="B17" s="194"/>
      <c r="C17" s="219">
        <f>'Aspen Ridge'!D14</f>
        <v>1056240</v>
      </c>
      <c r="D17" s="219"/>
      <c r="E17" s="219">
        <f>'Aspen Ridge'!I14</f>
        <v>1137040</v>
      </c>
      <c r="F17" s="219">
        <f>'Aspen Ridge'!J14</f>
        <v>94753.333333333328</v>
      </c>
      <c r="G17" s="219"/>
      <c r="H17" s="219">
        <f>'Aspen Ridge'!F14</f>
        <v>94813.111111111109</v>
      </c>
      <c r="I17" s="219">
        <f>'Aspen Ridge'!E14</f>
        <v>853318</v>
      </c>
      <c r="J17" s="186"/>
    </row>
    <row r="18" spans="1:11" ht="15" x14ac:dyDescent="0.25">
      <c r="A18" s="194" t="s">
        <v>472</v>
      </c>
      <c r="B18" s="194"/>
      <c r="C18" s="219">
        <f>'Redwood Village'!D14</f>
        <v>411830</v>
      </c>
      <c r="D18" s="219"/>
      <c r="E18" s="219">
        <f>'Redwood Village'!I14</f>
        <v>425670</v>
      </c>
      <c r="F18" s="219">
        <f>'Redwood Village'!J14</f>
        <v>35472.5</v>
      </c>
      <c r="G18" s="219"/>
      <c r="H18" s="219">
        <f>'Redwood Village'!F14</f>
        <v>35346.444444444438</v>
      </c>
      <c r="I18" s="219">
        <f>'Redwood Village'!E14</f>
        <v>318118</v>
      </c>
      <c r="K18" s="184"/>
    </row>
    <row r="19" spans="1:11" ht="15" x14ac:dyDescent="0.25">
      <c r="A19" s="194" t="s">
        <v>473</v>
      </c>
      <c r="B19" s="194"/>
      <c r="C19" s="219">
        <f>'Green Ridge'!D16</f>
        <v>698620</v>
      </c>
      <c r="D19" s="219"/>
      <c r="E19" s="219">
        <f>'Green Ridge'!I16</f>
        <v>706350</v>
      </c>
      <c r="F19" s="219">
        <f>'Green Ridge'!J16</f>
        <v>58862.499999999993</v>
      </c>
      <c r="G19" s="219"/>
      <c r="H19" s="219">
        <f>'Green Ridge'!F16</f>
        <v>57471.333333333314</v>
      </c>
      <c r="I19" s="219">
        <f>'Green Ridge'!E16</f>
        <v>517242</v>
      </c>
      <c r="K19" s="184"/>
    </row>
    <row r="20" spans="1:11" ht="15" x14ac:dyDescent="0.25">
      <c r="A20" s="194" t="s">
        <v>474</v>
      </c>
      <c r="B20" s="194"/>
      <c r="C20" s="219">
        <f>Glendale!D15</f>
        <v>1148925</v>
      </c>
      <c r="D20" s="219"/>
      <c r="E20" s="219">
        <f>Glendale!I15</f>
        <v>1199640</v>
      </c>
      <c r="F20" s="219">
        <f>Glendale!J15</f>
        <v>99969.999999999985</v>
      </c>
      <c r="G20" s="219"/>
      <c r="H20" s="219">
        <f>Glendale!F15</f>
        <v>97524</v>
      </c>
      <c r="I20" s="219">
        <f>Glendale!E15</f>
        <v>877716</v>
      </c>
      <c r="K20" s="184"/>
    </row>
    <row r="21" spans="1:11" ht="15" x14ac:dyDescent="0.25">
      <c r="A21" s="195" t="s">
        <v>475</v>
      </c>
      <c r="B21" s="194"/>
      <c r="C21" s="219">
        <f>'Viking Sq'!D15</f>
        <v>503420</v>
      </c>
      <c r="D21" s="219"/>
      <c r="E21" s="219">
        <f>'Viking Sq'!I15</f>
        <v>546450</v>
      </c>
      <c r="F21" s="219">
        <f>'Viking Sq'!J15</f>
        <v>45537.5</v>
      </c>
      <c r="G21" s="219"/>
      <c r="H21" s="219">
        <f>'Viking Sq'!F15</f>
        <v>45522.111111111102</v>
      </c>
      <c r="I21" s="219">
        <f>'Viking Sq'!E15</f>
        <v>409699</v>
      </c>
    </row>
    <row r="22" spans="1:11" ht="15" x14ac:dyDescent="0.25">
      <c r="A22" s="195" t="str">
        <f>A40</f>
        <v>Canyon Gate</v>
      </c>
      <c r="B22" s="194"/>
      <c r="C22" s="219">
        <f>'Canyon Gate'!D13</f>
        <v>564150</v>
      </c>
      <c r="D22" s="219"/>
      <c r="E22" s="219">
        <f>'Canyon Gate'!I13</f>
        <v>624090</v>
      </c>
      <c r="F22" s="219">
        <f>'Canyon Gate'!J13</f>
        <v>52007.5</v>
      </c>
      <c r="G22" s="219"/>
      <c r="H22" s="219">
        <f>'Canyon Gate'!F13</f>
        <v>45643.444444444453</v>
      </c>
      <c r="I22" s="219">
        <f>'Canyon Gate'!E13</f>
        <v>410791</v>
      </c>
    </row>
    <row r="23" spans="1:11" ht="15" x14ac:dyDescent="0.25">
      <c r="A23" s="195" t="s">
        <v>477</v>
      </c>
      <c r="B23" s="194"/>
      <c r="C23" s="219">
        <f>'Lewis Ct'!D14</f>
        <v>468900</v>
      </c>
      <c r="D23" s="219"/>
      <c r="E23" s="219">
        <f>'Lewis Ct'!I14</f>
        <v>481360</v>
      </c>
      <c r="F23" s="219">
        <f>'Lewis Ct'!J14</f>
        <v>40113.333333333336</v>
      </c>
      <c r="G23" s="219"/>
      <c r="H23" s="219">
        <f>'Lewis Ct'!F14</f>
        <v>38921.777777777774</v>
      </c>
      <c r="I23" s="219">
        <f>'Lewis Ct'!E14</f>
        <v>350296</v>
      </c>
    </row>
    <row r="24" spans="1:11" ht="15" x14ac:dyDescent="0.25">
      <c r="A24" s="195" t="s">
        <v>478</v>
      </c>
      <c r="B24" s="194"/>
      <c r="C24" s="219">
        <f>Harlan!D13</f>
        <v>50340</v>
      </c>
      <c r="D24" s="219"/>
      <c r="E24" s="219">
        <f>Harlan!I13</f>
        <v>52800</v>
      </c>
      <c r="F24" s="219">
        <f>Harlan!J13</f>
        <v>4399.9999999999991</v>
      </c>
      <c r="G24" s="219"/>
      <c r="H24" s="219">
        <f>Harlan!F13</f>
        <v>4424.1111111111104</v>
      </c>
      <c r="I24" s="219">
        <f>Harlan!E13</f>
        <v>39817</v>
      </c>
    </row>
    <row r="25" spans="1:11" ht="15" x14ac:dyDescent="0.25">
      <c r="A25" s="195" t="s">
        <v>479</v>
      </c>
      <c r="B25" s="194"/>
      <c r="C25" s="222">
        <f>'JCHA '!D27</f>
        <v>573390</v>
      </c>
      <c r="D25" s="222"/>
      <c r="E25" s="222">
        <f>'JCHA '!I27</f>
        <v>667129</v>
      </c>
      <c r="F25" s="222">
        <f>'JCHA '!J27</f>
        <v>55594.083333333336</v>
      </c>
      <c r="G25" s="222"/>
      <c r="H25" s="222">
        <f>'JCHA '!F27</f>
        <v>48107.444444444438</v>
      </c>
      <c r="I25" s="222">
        <f>'JCHA '!E27</f>
        <v>432967</v>
      </c>
    </row>
    <row r="26" spans="1:11" ht="15" x14ac:dyDescent="0.25">
      <c r="A26" s="195"/>
      <c r="B26" s="194"/>
      <c r="C26" s="194"/>
      <c r="D26" s="194"/>
      <c r="E26" s="194"/>
      <c r="F26" s="194"/>
      <c r="G26" s="194"/>
      <c r="H26" s="194"/>
      <c r="I26" s="194"/>
    </row>
    <row r="27" spans="1:11" ht="15" x14ac:dyDescent="0.25">
      <c r="A27" s="193" t="s">
        <v>75</v>
      </c>
      <c r="B27" s="194"/>
      <c r="C27" s="193">
        <f>SUM(C12:C25)</f>
        <v>18453835</v>
      </c>
      <c r="D27" s="193"/>
      <c r="E27" s="193">
        <f>SUM(E12:E25)</f>
        <v>20122289.300000001</v>
      </c>
      <c r="F27" s="193">
        <f>SUM(F12:F25)</f>
        <v>1676857.4416666664</v>
      </c>
      <c r="G27" s="193"/>
      <c r="H27" s="193">
        <f>SUM(H12:H25)</f>
        <v>1652016.333333333</v>
      </c>
      <c r="I27" s="193">
        <f>SUM(I12:I25)</f>
        <v>14868147</v>
      </c>
      <c r="J27" s="178"/>
    </row>
    <row r="28" spans="1:11" ht="15" x14ac:dyDescent="0.25">
      <c r="A28" s="194"/>
      <c r="B28" s="194"/>
      <c r="C28" s="194"/>
      <c r="D28" s="194"/>
      <c r="E28" s="194"/>
      <c r="F28" s="194"/>
      <c r="G28" s="194"/>
      <c r="H28" s="194"/>
      <c r="I28" s="194"/>
    </row>
    <row r="29" spans="1:11" ht="15" x14ac:dyDescent="0.25">
      <c r="A29" s="206" t="s">
        <v>485</v>
      </c>
      <c r="B29" s="194"/>
      <c r="C29" s="194"/>
      <c r="D29" s="194"/>
      <c r="E29" s="194"/>
      <c r="F29" s="194"/>
      <c r="G29" s="194"/>
      <c r="H29" s="194"/>
      <c r="I29" s="194"/>
    </row>
    <row r="30" spans="1:11" ht="15" x14ac:dyDescent="0.25">
      <c r="A30" s="194" t="str">
        <f t="shared" ref="A30:A39" si="0">A12</f>
        <v>Kendall</v>
      </c>
      <c r="B30" s="194"/>
      <c r="C30" s="219">
        <f>'Kendall Apts'!D19</f>
        <v>-165440</v>
      </c>
      <c r="D30" s="219"/>
      <c r="E30" s="219">
        <f>'Kendall Apts'!I19</f>
        <v>-155490</v>
      </c>
      <c r="F30" s="219">
        <f>'Kendall Apts'!J19</f>
        <v>-11457.5</v>
      </c>
      <c r="G30" s="219"/>
      <c r="H30" s="219">
        <f>'Kendall Apts'!G19</f>
        <v>-11392</v>
      </c>
      <c r="I30" s="219">
        <f>'Kendall Apts'!E19</f>
        <v>-102528</v>
      </c>
    </row>
    <row r="31" spans="1:11" ht="15" x14ac:dyDescent="0.25">
      <c r="A31" s="194" t="str">
        <f t="shared" si="0"/>
        <v>Mountain View</v>
      </c>
      <c r="B31" s="194"/>
      <c r="C31" s="220">
        <f>'Mtn View'!D21</f>
        <v>-154336</v>
      </c>
      <c r="D31" s="220"/>
      <c r="E31" s="220">
        <f>'Mtn View'!I21</f>
        <v>-162630</v>
      </c>
      <c r="F31" s="220">
        <f>'Mtn View'!J21</f>
        <v>-13552.5</v>
      </c>
      <c r="G31" s="220"/>
      <c r="H31" s="220">
        <f>'Mtn View'!F21</f>
        <v>-16995.666666666668</v>
      </c>
      <c r="I31" s="220">
        <f>'Mtn View'!E21</f>
        <v>-152961</v>
      </c>
      <c r="J31" s="183"/>
    </row>
    <row r="32" spans="1:11" ht="15" x14ac:dyDescent="0.25">
      <c r="A32" s="194" t="str">
        <f t="shared" si="0"/>
        <v>Section 8</v>
      </c>
      <c r="B32" s="194"/>
      <c r="C32" s="219">
        <f>Vouchers!D20</f>
        <v>-11227925</v>
      </c>
      <c r="D32" s="219"/>
      <c r="E32" s="219">
        <f>Vouchers!I20</f>
        <v>-12315310</v>
      </c>
      <c r="F32" s="219">
        <f>Vouchers!J20</f>
        <v>-1026275.8333333333</v>
      </c>
      <c r="G32" s="219"/>
      <c r="H32" s="219">
        <f>Vouchers!F20</f>
        <v>-1009991.6666666667</v>
      </c>
      <c r="I32" s="219">
        <f>Vouchers!E20</f>
        <v>-9089925</v>
      </c>
    </row>
    <row r="33" spans="1:11" ht="15" x14ac:dyDescent="0.25">
      <c r="A33" s="195" t="str">
        <f t="shared" si="0"/>
        <v>Rehab</v>
      </c>
      <c r="B33" s="194"/>
      <c r="C33" s="219">
        <f>Rehab!D21</f>
        <v>-516310.38926666667</v>
      </c>
      <c r="D33" s="219"/>
      <c r="E33" s="219">
        <f>Rehab!I21</f>
        <v>-665450.13586666668</v>
      </c>
      <c r="F33" s="219">
        <f>Rehab!J21</f>
        <v>-50560.018542361111</v>
      </c>
      <c r="G33" s="219"/>
      <c r="H33" s="219">
        <f>Rehab!F21</f>
        <v>-56168.777777777781</v>
      </c>
      <c r="I33" s="219">
        <f>Rehab!E21</f>
        <v>-505519</v>
      </c>
    </row>
    <row r="34" spans="1:11" ht="15" x14ac:dyDescent="0.25">
      <c r="A34" s="195" t="str">
        <f t="shared" si="0"/>
        <v>Caesar Square</v>
      </c>
      <c r="B34" s="194"/>
      <c r="C34" s="219">
        <f>'Caesar Sq'!D27</f>
        <v>-1053280</v>
      </c>
      <c r="D34" s="219"/>
      <c r="E34" s="219">
        <f>'Caesar Sq'!I27</f>
        <v>-1068280</v>
      </c>
      <c r="F34" s="219">
        <f>'Caesar Sq'!J27</f>
        <v>-89023.333333333343</v>
      </c>
      <c r="G34" s="219"/>
      <c r="H34" s="219">
        <f>'Caesar Sq'!F27</f>
        <v>-89664.444444444453</v>
      </c>
      <c r="I34" s="219">
        <f>'Caesar Sq'!E27</f>
        <v>-806980</v>
      </c>
    </row>
    <row r="35" spans="1:11" ht="15" x14ac:dyDescent="0.25">
      <c r="A35" s="195" t="str">
        <f t="shared" si="0"/>
        <v>Aspen Ridge</v>
      </c>
      <c r="B35" s="194"/>
      <c r="C35" s="219">
        <f>'Aspen Ridge'!D23</f>
        <v>-1040790</v>
      </c>
      <c r="D35" s="219"/>
      <c r="E35" s="219">
        <f>'Aspen Ridge'!I23</f>
        <v>-1200100</v>
      </c>
      <c r="F35" s="219">
        <f>'Aspen Ridge'!J23</f>
        <v>-100008.33333333333</v>
      </c>
      <c r="G35" s="219"/>
      <c r="H35" s="219">
        <f>'Aspen Ridge'!F23</f>
        <v>-88193</v>
      </c>
      <c r="I35" s="219">
        <f>'Aspen Ridge'!E23</f>
        <v>-793737</v>
      </c>
    </row>
    <row r="36" spans="1:11" ht="15" x14ac:dyDescent="0.25">
      <c r="A36" s="194" t="str">
        <f t="shared" si="0"/>
        <v>Redwood</v>
      </c>
      <c r="B36" s="194"/>
      <c r="C36" s="219">
        <f>'Redwood Village'!D23</f>
        <v>-451370</v>
      </c>
      <c r="D36" s="219"/>
      <c r="E36" s="219">
        <f>'Redwood Village'!I23</f>
        <v>-477370</v>
      </c>
      <c r="F36" s="219">
        <f>'Redwood Village'!J23</f>
        <v>-42280.833333333328</v>
      </c>
      <c r="G36" s="219"/>
      <c r="H36" s="219">
        <f>'Redwood Village'!F23</f>
        <v>-34066.333333333328</v>
      </c>
      <c r="I36" s="219">
        <f>'Redwood Village'!E23</f>
        <v>-306597</v>
      </c>
    </row>
    <row r="37" spans="1:11" ht="15" x14ac:dyDescent="0.25">
      <c r="A37" s="194" t="str">
        <f t="shared" si="0"/>
        <v>Green Ridge</v>
      </c>
      <c r="B37" s="194"/>
      <c r="C37" s="219">
        <f>'Green Ridge'!D25</f>
        <v>-767410</v>
      </c>
      <c r="D37" s="219"/>
      <c r="E37" s="219">
        <f>'Green Ridge'!I25</f>
        <v>-795270</v>
      </c>
      <c r="F37" s="219">
        <f>'Green Ridge'!J25</f>
        <v>-66272.5</v>
      </c>
      <c r="G37" s="219"/>
      <c r="H37" s="219">
        <f>'Green Ridge'!F25</f>
        <v>-65860.777777777781</v>
      </c>
      <c r="I37" s="219">
        <f>'Green Ridge'!E25</f>
        <v>-592747</v>
      </c>
    </row>
    <row r="38" spans="1:11" ht="15" x14ac:dyDescent="0.25">
      <c r="A38" s="194" t="str">
        <f t="shared" si="0"/>
        <v>Glendale</v>
      </c>
      <c r="B38" s="194"/>
      <c r="C38" s="219">
        <f>Glendale!D24</f>
        <v>-1348728</v>
      </c>
      <c r="D38" s="219"/>
      <c r="E38" s="219">
        <f>Glendale!I24</f>
        <v>-1361490</v>
      </c>
      <c r="F38" s="219">
        <f>Glendale!J24</f>
        <v>-113457.5</v>
      </c>
      <c r="G38" s="219"/>
      <c r="H38" s="219">
        <f>Glendale!F24</f>
        <v>-119669.99999999999</v>
      </c>
      <c r="I38" s="219">
        <f>Glendale!E24</f>
        <v>-1077030</v>
      </c>
    </row>
    <row r="39" spans="1:11" ht="15" x14ac:dyDescent="0.25">
      <c r="A39" s="195" t="str">
        <f t="shared" si="0"/>
        <v>Viking Square</v>
      </c>
      <c r="B39" s="194"/>
      <c r="C39" s="219">
        <f>'Viking Sq'!D24</f>
        <v>-482470</v>
      </c>
      <c r="D39" s="219"/>
      <c r="E39" s="219">
        <f>'Viking Sq'!I24</f>
        <v>-488020</v>
      </c>
      <c r="F39" s="219">
        <f>'Viking Sq'!J24</f>
        <v>-40668.333333333336</v>
      </c>
      <c r="G39" s="219"/>
      <c r="H39" s="219">
        <f>'Viking Sq'!F24</f>
        <v>-35295.888888888891</v>
      </c>
      <c r="I39" s="219">
        <f>'Viking Sq'!E24</f>
        <v>-317663</v>
      </c>
    </row>
    <row r="40" spans="1:11" ht="15" x14ac:dyDescent="0.25">
      <c r="A40" s="195" t="s">
        <v>476</v>
      </c>
      <c r="B40" s="194"/>
      <c r="C40" s="219">
        <f>'Canyon Gate'!D22</f>
        <v>-568120</v>
      </c>
      <c r="D40" s="219"/>
      <c r="E40" s="219">
        <f>'Canyon Gate'!I22</f>
        <v>-628250</v>
      </c>
      <c r="F40" s="219">
        <f>'Canyon Gate'!J22</f>
        <v>-52229.166666666672</v>
      </c>
      <c r="G40" s="219"/>
      <c r="H40" s="219">
        <f>'Canyon Gate'!F22</f>
        <v>-50522.333333333336</v>
      </c>
      <c r="I40" s="219">
        <f>'Canyon Gate'!E22</f>
        <v>-454701</v>
      </c>
    </row>
    <row r="41" spans="1:11" ht="15" x14ac:dyDescent="0.25">
      <c r="A41" s="195" t="str">
        <f>A23</f>
        <v>Lewis Court</v>
      </c>
      <c r="B41" s="194"/>
      <c r="C41" s="219">
        <f>'Lewis Ct'!D23</f>
        <v>-726510.06186666666</v>
      </c>
      <c r="D41" s="219"/>
      <c r="E41" s="219">
        <f>'Lewis Ct'!I23</f>
        <v>-742080</v>
      </c>
      <c r="F41" s="219">
        <f>'Lewis Ct'!J23</f>
        <v>-61840</v>
      </c>
      <c r="G41" s="219"/>
      <c r="H41" s="219">
        <f>'Lewis Ct'!F23</f>
        <v>-57943.888888888891</v>
      </c>
      <c r="I41" s="219">
        <f>'Lewis Ct'!E23</f>
        <v>-521495</v>
      </c>
    </row>
    <row r="42" spans="1:11" ht="15" x14ac:dyDescent="0.25">
      <c r="A42" s="195" t="str">
        <f>A24</f>
        <v>Harlan St</v>
      </c>
      <c r="B42" s="194"/>
      <c r="C42" s="219">
        <f>Harlan!D22</f>
        <v>-69040</v>
      </c>
      <c r="D42" s="219"/>
      <c r="E42" s="219">
        <f>Harlan!I22</f>
        <v>-77490</v>
      </c>
      <c r="F42" s="219">
        <f>Harlan!J22</f>
        <v>-6449.1666666666661</v>
      </c>
      <c r="G42" s="219"/>
      <c r="H42" s="219">
        <f>Harlan!F22</f>
        <v>-67893.333333333343</v>
      </c>
      <c r="I42" s="219">
        <f>Harlan!E22</f>
        <v>-50920</v>
      </c>
    </row>
    <row r="43" spans="1:11" ht="15" x14ac:dyDescent="0.25">
      <c r="A43" s="195" t="str">
        <f>A25</f>
        <v>JCHA</v>
      </c>
      <c r="B43" s="194"/>
      <c r="C43" s="219">
        <f>'JCHA '!D34</f>
        <v>-585650</v>
      </c>
      <c r="D43" s="219"/>
      <c r="E43" s="219">
        <f>'JCHA '!I34</f>
        <v>-636315</v>
      </c>
      <c r="F43" s="219">
        <f>'JCHA '!J34</f>
        <v>-53026.250000000007</v>
      </c>
      <c r="G43" s="219"/>
      <c r="H43" s="219">
        <f>'JCHA '!F34</f>
        <v>-60898.444444444445</v>
      </c>
      <c r="I43" s="219">
        <f>'JCHA '!E34</f>
        <v>-548086</v>
      </c>
    </row>
    <row r="44" spans="1:11" ht="15" x14ac:dyDescent="0.25">
      <c r="A44" s="194"/>
      <c r="B44" s="194"/>
      <c r="C44" s="219"/>
      <c r="D44" s="219"/>
      <c r="E44" s="219"/>
      <c r="F44" s="219"/>
      <c r="G44" s="219"/>
      <c r="H44" s="219"/>
      <c r="I44" s="219"/>
    </row>
    <row r="45" spans="1:11" s="187" customFormat="1" ht="15.75" thickBot="1" x14ac:dyDescent="0.3">
      <c r="A45" s="214" t="s">
        <v>80</v>
      </c>
      <c r="B45" s="212"/>
      <c r="C45" s="221">
        <f>SUM(C30:C44)</f>
        <v>-19157379.451133333</v>
      </c>
      <c r="D45" s="221"/>
      <c r="E45" s="221">
        <f>SUM(E30:E44)</f>
        <v>-20773545.135866664</v>
      </c>
      <c r="F45" s="221">
        <f>SUM(F30:F44)</f>
        <v>-1727101.268542361</v>
      </c>
      <c r="G45" s="221"/>
      <c r="H45" s="221">
        <f>SUM(H30:H44)</f>
        <v>-1764556.5555555557</v>
      </c>
      <c r="I45" s="221">
        <f>SUM(I30:I44)</f>
        <v>-15320889</v>
      </c>
    </row>
    <row r="46" spans="1:11" s="188" customFormat="1" ht="16.5" thickTop="1" thickBot="1" x14ac:dyDescent="0.3">
      <c r="A46" s="213" t="s">
        <v>578</v>
      </c>
      <c r="B46" s="213"/>
      <c r="C46" s="218">
        <f>SUM(C27+C45)</f>
        <v>-703544.45113333315</v>
      </c>
      <c r="D46" s="218"/>
      <c r="E46" s="218">
        <f>SUM(E27+E45)</f>
        <v>-651255.8358666636</v>
      </c>
      <c r="F46" s="218">
        <f>SUM(F27+F45)</f>
        <v>-50243.826875694562</v>
      </c>
      <c r="G46" s="218"/>
      <c r="H46" s="218">
        <f>SUM(H27+H45)</f>
        <v>-112540.22222222271</v>
      </c>
      <c r="I46" s="218">
        <f>SUM(I27+I45)</f>
        <v>-452742</v>
      </c>
      <c r="J46" s="189"/>
      <c r="K46" s="190"/>
    </row>
    <row r="47" spans="1:11" ht="15.75" thickTop="1" x14ac:dyDescent="0.25">
      <c r="A47" s="194"/>
      <c r="B47" s="194"/>
      <c r="C47" s="194"/>
      <c r="D47" s="194"/>
      <c r="E47" s="194"/>
      <c r="F47" s="194"/>
      <c r="G47" s="194"/>
      <c r="H47" s="194"/>
      <c r="I47" s="194"/>
    </row>
    <row r="48" spans="1:11" ht="15" x14ac:dyDescent="0.25">
      <c r="A48" s="194"/>
      <c r="B48" s="194"/>
      <c r="C48" s="194"/>
      <c r="D48" s="194"/>
      <c r="E48" s="194"/>
      <c r="F48" s="194"/>
      <c r="G48" s="194"/>
      <c r="H48" s="194"/>
      <c r="I48" s="194"/>
    </row>
    <row r="49" spans="1:10" ht="12.6" customHeight="1" x14ac:dyDescent="0.25">
      <c r="A49" s="206"/>
      <c r="B49" s="194"/>
      <c r="C49" s="204"/>
      <c r="D49" s="205"/>
      <c r="E49" s="204"/>
      <c r="F49" s="204"/>
      <c r="G49" s="205"/>
      <c r="H49" s="207"/>
      <c r="I49" s="205"/>
      <c r="J49" s="182"/>
    </row>
    <row r="50" spans="1:10" ht="15" x14ac:dyDescent="0.25">
      <c r="A50" s="206" t="s">
        <v>449</v>
      </c>
      <c r="B50" s="194"/>
      <c r="C50" s="194"/>
      <c r="D50" s="194"/>
      <c r="E50" s="194"/>
      <c r="F50" s="194"/>
      <c r="G50" s="194"/>
      <c r="H50" s="194"/>
      <c r="I50" s="194"/>
    </row>
    <row r="51" spans="1:10" ht="15" x14ac:dyDescent="0.25">
      <c r="A51" s="206"/>
      <c r="B51" s="194"/>
      <c r="C51" s="194"/>
      <c r="D51" s="194"/>
      <c r="E51" s="194"/>
      <c r="F51" s="194"/>
      <c r="G51" s="194"/>
      <c r="H51" s="194"/>
      <c r="I51" s="194"/>
    </row>
    <row r="52" spans="1:10" ht="15" x14ac:dyDescent="0.25">
      <c r="A52" s="194" t="s">
        <v>466</v>
      </c>
      <c r="B52" s="194"/>
      <c r="C52" s="219">
        <f>'Kendall Apts'!D34</f>
        <v>15850</v>
      </c>
      <c r="D52" s="219"/>
      <c r="E52" s="219">
        <f>'Kendall Apts'!I34</f>
        <v>16220</v>
      </c>
      <c r="F52" s="219">
        <f>'Kendall Apts'!J34</f>
        <v>1351.666666666667</v>
      </c>
      <c r="G52" s="219"/>
      <c r="H52" s="219">
        <f>'Kendall Apts'!G34</f>
        <v>1339.0000000000005</v>
      </c>
      <c r="I52" s="219">
        <f>'Kendall Apts'!E34</f>
        <v>12051</v>
      </c>
    </row>
    <row r="53" spans="1:10" ht="15" x14ac:dyDescent="0.25">
      <c r="A53" s="194" t="str">
        <f>A13</f>
        <v>Mountain View</v>
      </c>
      <c r="B53" s="194"/>
      <c r="C53" s="219">
        <f>'Mtn View'!D35</f>
        <v>7570</v>
      </c>
      <c r="D53" s="219"/>
      <c r="E53" s="219">
        <f>'Mtn View'!I35</f>
        <v>8440</v>
      </c>
      <c r="F53" s="219">
        <f>'Mtn View'!J35</f>
        <v>703.33333333333337</v>
      </c>
      <c r="G53" s="219"/>
      <c r="H53" s="219">
        <f>'Mtn View'!F35</f>
        <v>679.22222222222217</v>
      </c>
      <c r="I53" s="219">
        <f>'Mtn View'!E35</f>
        <v>6113</v>
      </c>
    </row>
    <row r="54" spans="1:10" ht="15" x14ac:dyDescent="0.25">
      <c r="A54" s="194" t="str">
        <f t="shared" ref="A54:A65" si="1">A32</f>
        <v>Section 8</v>
      </c>
      <c r="B54" s="194"/>
      <c r="C54" s="219">
        <f>Vouchers!D41</f>
        <v>647260</v>
      </c>
      <c r="D54" s="219"/>
      <c r="E54" s="219">
        <f>Vouchers!I41</f>
        <v>700810</v>
      </c>
      <c r="F54" s="219">
        <f>Vouchers!J41</f>
        <v>58400.833333333314</v>
      </c>
      <c r="G54" s="219"/>
      <c r="H54" s="219">
        <f>Vouchers!F41</f>
        <v>59479.333333333336</v>
      </c>
      <c r="I54" s="219">
        <f>Vouchers!E41</f>
        <v>535314</v>
      </c>
    </row>
    <row r="55" spans="1:10" ht="15" x14ac:dyDescent="0.25">
      <c r="A55" s="195" t="str">
        <f t="shared" si="1"/>
        <v>Rehab</v>
      </c>
      <c r="B55" s="194"/>
      <c r="C55" s="219">
        <f>Rehab!D39</f>
        <v>272010.38926666667</v>
      </c>
      <c r="D55" s="219"/>
      <c r="E55" s="219">
        <f>Rehab!I39</f>
        <v>348950.13586666668</v>
      </c>
      <c r="F55" s="219">
        <f>Rehab!J39</f>
        <v>29079.177988888892</v>
      </c>
      <c r="G55" s="219"/>
      <c r="H55" s="219">
        <f>Rehab!F39</f>
        <v>27059.444444444445</v>
      </c>
      <c r="I55" s="219">
        <f>Rehab!E39</f>
        <v>243535</v>
      </c>
    </row>
    <row r="56" spans="1:10" ht="15" x14ac:dyDescent="0.25">
      <c r="A56" s="195" t="str">
        <f t="shared" si="1"/>
        <v>Caesar Square</v>
      </c>
      <c r="B56" s="194"/>
      <c r="C56" s="219">
        <f>'Caesar Sq'!D47</f>
        <v>134630</v>
      </c>
      <c r="D56" s="219"/>
      <c r="E56" s="219">
        <f>'Caesar Sq'!I47</f>
        <v>144680</v>
      </c>
      <c r="F56" s="219">
        <f>'Caesar Sq'!J47</f>
        <v>12056.666666666664</v>
      </c>
      <c r="G56" s="219"/>
      <c r="H56" s="219">
        <f>'Caesar Sq'!F47</f>
        <v>10932.666666666664</v>
      </c>
      <c r="I56" s="219">
        <f>'Caesar Sq'!E47</f>
        <v>98394</v>
      </c>
    </row>
    <row r="57" spans="1:10" ht="15" x14ac:dyDescent="0.25">
      <c r="A57" s="195" t="str">
        <f t="shared" si="1"/>
        <v>Aspen Ridge</v>
      </c>
      <c r="B57" s="194"/>
      <c r="C57" s="219">
        <f>'Aspen Ridge'!D42</f>
        <v>156690</v>
      </c>
      <c r="D57" s="219"/>
      <c r="E57" s="219">
        <f>'Aspen Ridge'!I42</f>
        <v>165710</v>
      </c>
      <c r="F57" s="219">
        <f>'Aspen Ridge'!J42</f>
        <v>13809.166666666662</v>
      </c>
      <c r="G57" s="219"/>
      <c r="H57" s="219">
        <f>'Aspen Ridge'!F42</f>
        <v>14098.444444444443</v>
      </c>
      <c r="I57" s="219">
        <f>'Aspen Ridge'!E42</f>
        <v>126886</v>
      </c>
    </row>
    <row r="58" spans="1:10" ht="15" x14ac:dyDescent="0.25">
      <c r="A58" s="194" t="str">
        <f t="shared" si="1"/>
        <v>Redwood</v>
      </c>
      <c r="B58" s="211"/>
      <c r="C58" s="220">
        <f>'Redwood Village'!D44</f>
        <v>77420</v>
      </c>
      <c r="D58" s="220"/>
      <c r="E58" s="220">
        <f>'Redwood Village'!I44</f>
        <v>77000</v>
      </c>
      <c r="F58" s="220">
        <f>'Redwood Village'!J44</f>
        <v>6416.6666666666661</v>
      </c>
      <c r="G58" s="220"/>
      <c r="H58" s="220">
        <f>'Redwood Village'!F44</f>
        <v>6290.7777777777783</v>
      </c>
      <c r="I58" s="220">
        <f>'Redwood Village'!E44</f>
        <v>56617</v>
      </c>
      <c r="J58" s="183"/>
    </row>
    <row r="59" spans="1:10" ht="15" x14ac:dyDescent="0.25">
      <c r="A59" s="194" t="str">
        <f t="shared" si="1"/>
        <v>Green Ridge</v>
      </c>
      <c r="B59" s="194"/>
      <c r="C59" s="219">
        <f>'Green Ridge'!D46</f>
        <v>167330</v>
      </c>
      <c r="D59" s="219"/>
      <c r="E59" s="219">
        <f>'Green Ridge'!I46</f>
        <v>165150</v>
      </c>
      <c r="F59" s="219">
        <f>'Green Ridge'!J46</f>
        <v>13762.5</v>
      </c>
      <c r="G59" s="219"/>
      <c r="H59" s="219">
        <f>'Green Ridge'!F46</f>
        <v>14902.444444444443</v>
      </c>
      <c r="I59" s="219">
        <f>'Green Ridge'!E46</f>
        <v>134122</v>
      </c>
    </row>
    <row r="60" spans="1:10" ht="15" x14ac:dyDescent="0.25">
      <c r="A60" s="194" t="str">
        <f t="shared" si="1"/>
        <v>Glendale</v>
      </c>
      <c r="B60" s="194"/>
      <c r="C60" s="219">
        <f>Glendale!D47</f>
        <v>167730</v>
      </c>
      <c r="D60" s="219"/>
      <c r="E60" s="219">
        <f>Glendale!I47</f>
        <v>157960</v>
      </c>
      <c r="F60" s="219">
        <f>Glendale!J47</f>
        <v>13163.333333333332</v>
      </c>
      <c r="G60" s="219"/>
      <c r="H60" s="219">
        <f>Glendale!F47</f>
        <v>12862.777777777779</v>
      </c>
      <c r="I60" s="219">
        <f>Glendale!E47</f>
        <v>115765</v>
      </c>
    </row>
    <row r="61" spans="1:10" ht="15" x14ac:dyDescent="0.25">
      <c r="A61" s="195" t="str">
        <f t="shared" si="1"/>
        <v>Viking Square</v>
      </c>
      <c r="B61" s="194"/>
      <c r="C61" s="219">
        <f>'Viking Sq'!D42</f>
        <v>54200</v>
      </c>
      <c r="D61" s="219"/>
      <c r="E61" s="219">
        <f>'Viking Sq'!I42</f>
        <v>53670</v>
      </c>
      <c r="F61" s="219">
        <f>'Viking Sq'!J42</f>
        <v>4472.5</v>
      </c>
      <c r="G61" s="219"/>
      <c r="H61" s="219">
        <f>'Viking Sq'!F42</f>
        <v>3409.3333333333339</v>
      </c>
      <c r="I61" s="219">
        <f>'Viking Sq'!E42</f>
        <v>30684</v>
      </c>
    </row>
    <row r="62" spans="1:10" ht="15" x14ac:dyDescent="0.25">
      <c r="A62" s="195" t="str">
        <f t="shared" si="1"/>
        <v>Canyon Gate</v>
      </c>
      <c r="B62" s="194"/>
      <c r="C62" s="219">
        <f>'Canyon Gate'!D43</f>
        <v>125310</v>
      </c>
      <c r="D62" s="219"/>
      <c r="E62" s="219">
        <f>'Canyon Gate'!I43</f>
        <v>133120</v>
      </c>
      <c r="F62" s="219">
        <f>'Canyon Gate'!J43</f>
        <v>10968.333333333334</v>
      </c>
      <c r="G62" s="219"/>
      <c r="H62" s="219">
        <f>'Canyon Gate'!F43</f>
        <v>10967.555555555557</v>
      </c>
      <c r="I62" s="219">
        <f>'Canyon Gate'!E43</f>
        <v>98708</v>
      </c>
    </row>
    <row r="63" spans="1:10" ht="15" x14ac:dyDescent="0.25">
      <c r="A63" s="195" t="str">
        <f t="shared" si="1"/>
        <v>Lewis Court</v>
      </c>
      <c r="B63" s="194"/>
      <c r="C63" s="219">
        <f>'Lewis Ct'!D47</f>
        <v>144430.264</v>
      </c>
      <c r="D63" s="219"/>
      <c r="E63" s="219">
        <f>'Lewis Ct'!I47</f>
        <v>130210</v>
      </c>
      <c r="F63" s="219">
        <f>'Lewis Ct'!J47</f>
        <v>10850.833333333332</v>
      </c>
      <c r="G63" s="219"/>
      <c r="H63" s="219">
        <f>'Lewis Ct'!F47</f>
        <v>12165.111111111111</v>
      </c>
      <c r="I63" s="219">
        <f>'Lewis Ct'!E47</f>
        <v>109486</v>
      </c>
    </row>
    <row r="64" spans="1:10" ht="15" x14ac:dyDescent="0.25">
      <c r="A64" s="195" t="str">
        <f t="shared" si="1"/>
        <v>Harlan St</v>
      </c>
      <c r="B64" s="194"/>
      <c r="C64" s="219">
        <f>Harlan!D43</f>
        <v>4690</v>
      </c>
      <c r="D64" s="219"/>
      <c r="E64" s="219">
        <f>Harlan!I43</f>
        <v>3980</v>
      </c>
      <c r="F64" s="219">
        <f>Harlan!J43</f>
        <v>323.33333333333337</v>
      </c>
      <c r="G64" s="219"/>
      <c r="H64" s="219">
        <f>Harlan!F43</f>
        <v>248.22222222222223</v>
      </c>
      <c r="I64" s="219">
        <f>Harlan!E43</f>
        <v>2234</v>
      </c>
    </row>
    <row r="65" spans="1:10" ht="15" x14ac:dyDescent="0.25">
      <c r="A65" s="195" t="str">
        <f t="shared" si="1"/>
        <v>JCHA</v>
      </c>
      <c r="B65" s="194"/>
      <c r="C65" s="222">
        <f>'JCHA '!D57</f>
        <v>339620</v>
      </c>
      <c r="D65" s="222"/>
      <c r="E65" s="222">
        <f>'JCHA '!I57</f>
        <v>384070</v>
      </c>
      <c r="F65" s="222">
        <f>'JCHA '!J57</f>
        <v>32005.833333333339</v>
      </c>
      <c r="G65" s="222"/>
      <c r="H65" s="222">
        <f>'JCHA '!F57</f>
        <v>35596.111111111109</v>
      </c>
      <c r="I65" s="222">
        <f>'JCHA '!E57</f>
        <v>320365</v>
      </c>
    </row>
    <row r="66" spans="1:10" ht="15" x14ac:dyDescent="0.25">
      <c r="A66" s="194"/>
      <c r="B66" s="194"/>
      <c r="C66" s="211"/>
      <c r="D66" s="194"/>
      <c r="E66" s="211"/>
      <c r="F66" s="194"/>
      <c r="G66" s="194"/>
      <c r="H66" s="194"/>
      <c r="I66" s="194"/>
    </row>
    <row r="67" spans="1:10" ht="15.75" thickBot="1" x14ac:dyDescent="0.3">
      <c r="A67" s="193" t="s">
        <v>486</v>
      </c>
      <c r="B67" s="194"/>
      <c r="C67" s="218">
        <f t="shared" ref="C67" si="2">SUM(C52:C66)</f>
        <v>2314740.6532666665</v>
      </c>
      <c r="D67" s="218"/>
      <c r="E67" s="218">
        <f t="shared" ref="E67:I67" si="3">SUM(E52:E66)</f>
        <v>2489970.1358666667</v>
      </c>
      <c r="F67" s="218">
        <f t="shared" si="3"/>
        <v>207364.1779888889</v>
      </c>
      <c r="G67" s="218"/>
      <c r="H67" s="218">
        <f t="shared" si="3"/>
        <v>210030.44444444444</v>
      </c>
      <c r="I67" s="218">
        <f t="shared" si="3"/>
        <v>1890274</v>
      </c>
      <c r="J67" s="178"/>
    </row>
    <row r="68" spans="1:10" ht="15.75" thickTop="1" x14ac:dyDescent="0.25">
      <c r="A68" s="194"/>
      <c r="B68" s="194"/>
      <c r="C68" s="194"/>
      <c r="D68" s="194"/>
      <c r="E68" s="194"/>
      <c r="F68" s="194"/>
      <c r="G68" s="194"/>
      <c r="H68" s="194" t="s">
        <v>464</v>
      </c>
      <c r="I68" s="194"/>
    </row>
    <row r="69" spans="1:10" ht="15" x14ac:dyDescent="0.25">
      <c r="A69" s="206" t="s">
        <v>450</v>
      </c>
      <c r="B69" s="194"/>
      <c r="C69" s="194"/>
      <c r="D69" s="194"/>
      <c r="E69" s="194"/>
      <c r="F69" s="194"/>
      <c r="G69" s="194"/>
      <c r="H69" s="194" t="s">
        <v>464</v>
      </c>
      <c r="I69" s="194"/>
    </row>
    <row r="70" spans="1:10" ht="15" x14ac:dyDescent="0.25">
      <c r="A70" s="194" t="s">
        <v>466</v>
      </c>
      <c r="B70" s="194"/>
      <c r="C70" s="219">
        <f>'Kendall Apts'!D41</f>
        <v>9880</v>
      </c>
      <c r="D70" s="219"/>
      <c r="E70" s="219">
        <f>'Kendall Apts'!I41</f>
        <v>11010</v>
      </c>
      <c r="F70" s="219">
        <f>'Kendall Apts'!J41</f>
        <v>917.5</v>
      </c>
      <c r="G70" s="219"/>
      <c r="H70" s="219">
        <f>'Kendall Apts'!G41</f>
        <v>903.44444444444434</v>
      </c>
      <c r="I70" s="219">
        <f>'Kendall Apts'!E41</f>
        <v>8131</v>
      </c>
    </row>
    <row r="71" spans="1:10" ht="15" x14ac:dyDescent="0.25">
      <c r="A71" s="194" t="str">
        <f t="shared" ref="A71:A83" si="4">A53</f>
        <v>Mountain View</v>
      </c>
      <c r="B71" s="194"/>
      <c r="C71" s="219">
        <f>'Mtn View'!D42</f>
        <v>5670</v>
      </c>
      <c r="D71" s="219"/>
      <c r="E71" s="219">
        <f>'Mtn View'!I42</f>
        <v>6350</v>
      </c>
      <c r="F71" s="219">
        <f>'Mtn View'!J42</f>
        <v>529.16666666666663</v>
      </c>
      <c r="G71" s="219"/>
      <c r="H71" s="219">
        <f>'Mtn View'!F42</f>
        <v>520.22222222222217</v>
      </c>
      <c r="I71" s="219">
        <f>'Mtn View'!E42</f>
        <v>4682</v>
      </c>
    </row>
    <row r="72" spans="1:10" ht="15" x14ac:dyDescent="0.25">
      <c r="A72" s="194" t="str">
        <f t="shared" si="4"/>
        <v>Section 8</v>
      </c>
      <c r="B72" s="194"/>
      <c r="C72" s="219">
        <v>0</v>
      </c>
      <c r="D72" s="219"/>
      <c r="E72" s="219">
        <v>0</v>
      </c>
      <c r="F72" s="219">
        <v>0</v>
      </c>
      <c r="G72" s="219"/>
      <c r="H72" s="219">
        <v>0</v>
      </c>
      <c r="I72" s="219">
        <v>0</v>
      </c>
    </row>
    <row r="73" spans="1:10" ht="15" x14ac:dyDescent="0.25">
      <c r="A73" s="195" t="str">
        <f t="shared" si="4"/>
        <v>Rehab</v>
      </c>
      <c r="B73" s="194"/>
      <c r="C73" s="219">
        <v>0</v>
      </c>
      <c r="D73" s="219"/>
      <c r="E73" s="219">
        <v>0</v>
      </c>
      <c r="F73" s="219">
        <v>0</v>
      </c>
      <c r="G73" s="219"/>
      <c r="H73" s="219">
        <v>0</v>
      </c>
      <c r="I73" s="219">
        <v>0</v>
      </c>
    </row>
    <row r="74" spans="1:10" ht="15" x14ac:dyDescent="0.25">
      <c r="A74" s="195" t="str">
        <f t="shared" si="4"/>
        <v>Caesar Square</v>
      </c>
      <c r="B74" s="194"/>
      <c r="C74" s="219">
        <f>'Caesar Sq'!D54</f>
        <v>89130</v>
      </c>
      <c r="D74" s="219"/>
      <c r="E74" s="219">
        <f>'Caesar Sq'!I54</f>
        <v>86440</v>
      </c>
      <c r="F74" s="219">
        <f>'Caesar Sq'!J54</f>
        <v>7203.3333333333321</v>
      </c>
      <c r="G74" s="219"/>
      <c r="H74" s="219">
        <f>'Caesar Sq'!F54</f>
        <v>7102.666666666667</v>
      </c>
      <c r="I74" s="219">
        <f>'Caesar Sq'!E54</f>
        <v>63924</v>
      </c>
    </row>
    <row r="75" spans="1:10" ht="15" x14ac:dyDescent="0.25">
      <c r="A75" s="195" t="str">
        <f t="shared" si="4"/>
        <v>Aspen Ridge</v>
      </c>
      <c r="B75" s="194"/>
      <c r="C75" s="219">
        <f>'Aspen Ridge'!D49</f>
        <v>87370</v>
      </c>
      <c r="D75" s="219"/>
      <c r="E75" s="219">
        <f>'Aspen Ridge'!I49</f>
        <v>78520</v>
      </c>
      <c r="F75" s="219">
        <f>'Aspen Ridge'!J49</f>
        <v>6543.333333333333</v>
      </c>
      <c r="G75" s="219"/>
      <c r="H75" s="219">
        <f>'Aspen Ridge'!F49</f>
        <v>6457.1111111111113</v>
      </c>
      <c r="I75" s="219">
        <f>'Aspen Ridge'!E49</f>
        <v>58114</v>
      </c>
    </row>
    <row r="76" spans="1:10" ht="15" x14ac:dyDescent="0.25">
      <c r="A76" s="194" t="str">
        <f t="shared" si="4"/>
        <v>Redwood</v>
      </c>
      <c r="B76" s="194"/>
      <c r="C76" s="219">
        <f>'Redwood Village'!D51</f>
        <v>32420</v>
      </c>
      <c r="D76" s="219"/>
      <c r="E76" s="219">
        <f>'Redwood Village'!I51</f>
        <v>25890</v>
      </c>
      <c r="F76" s="219">
        <f>'Redwood Village'!J51</f>
        <v>2157.5</v>
      </c>
      <c r="G76" s="219"/>
      <c r="H76" s="219">
        <f>'Redwood Village'!F51</f>
        <v>2129.1111111111113</v>
      </c>
      <c r="I76" s="219">
        <f>'Redwood Village'!E51</f>
        <v>19162</v>
      </c>
    </row>
    <row r="77" spans="1:10" ht="15" x14ac:dyDescent="0.25">
      <c r="A77" s="194" t="str">
        <f t="shared" si="4"/>
        <v>Green Ridge</v>
      </c>
      <c r="B77" s="194"/>
      <c r="C77" s="219">
        <f>'Green Ridge'!D53</f>
        <v>73270</v>
      </c>
      <c r="D77" s="219"/>
      <c r="E77" s="219">
        <f>'Green Ridge'!I53</f>
        <v>67340</v>
      </c>
      <c r="F77" s="219">
        <f>'Green Ridge'!J53</f>
        <v>5611.666666666667</v>
      </c>
      <c r="G77" s="219"/>
      <c r="H77" s="219">
        <f>'Green Ridge'!F53</f>
        <v>5549.7777777777783</v>
      </c>
      <c r="I77" s="219">
        <f>'Green Ridge'!E53</f>
        <v>49948</v>
      </c>
    </row>
    <row r="78" spans="1:10" ht="15" x14ac:dyDescent="0.25">
      <c r="A78" s="194" t="str">
        <f t="shared" si="4"/>
        <v>Glendale</v>
      </c>
      <c r="B78" s="194"/>
      <c r="C78" s="219">
        <f>Glendale!D54</f>
        <v>203990</v>
      </c>
      <c r="D78" s="219"/>
      <c r="E78" s="219">
        <f>Glendale!I54</f>
        <v>196150</v>
      </c>
      <c r="F78" s="219">
        <f>Glendale!J54</f>
        <v>16345.833333333334</v>
      </c>
      <c r="G78" s="219"/>
      <c r="H78" s="219">
        <f>Glendale!F54</f>
        <v>16133.666666666666</v>
      </c>
      <c r="I78" s="219">
        <f>Glendale!E54</f>
        <v>145203</v>
      </c>
    </row>
    <row r="79" spans="1:10" ht="15" x14ac:dyDescent="0.25">
      <c r="A79" s="195" t="str">
        <f t="shared" si="4"/>
        <v>Viking Square</v>
      </c>
      <c r="B79" s="194"/>
      <c r="C79" s="219">
        <f>'Viking Sq'!D49</f>
        <v>36420</v>
      </c>
      <c r="D79" s="219"/>
      <c r="E79" s="219">
        <f>'Viking Sq'!I49</f>
        <v>31640</v>
      </c>
      <c r="F79" s="219">
        <f>'Viking Sq'!J49</f>
        <v>2636.6666666666665</v>
      </c>
      <c r="G79" s="219"/>
      <c r="H79" s="219">
        <f>'Viking Sq'!F49</f>
        <v>2604.666666666667</v>
      </c>
      <c r="I79" s="219">
        <f>'Viking Sq'!E49</f>
        <v>23442</v>
      </c>
    </row>
    <row r="80" spans="1:10" ht="15" x14ac:dyDescent="0.25">
      <c r="A80" s="195" t="str">
        <f t="shared" si="4"/>
        <v>Canyon Gate</v>
      </c>
      <c r="B80" s="194"/>
      <c r="C80" s="219">
        <f>'Canyon Gate'!D50</f>
        <v>39590</v>
      </c>
      <c r="D80" s="219"/>
      <c r="E80" s="219">
        <f>'Canyon Gate'!I50</f>
        <v>32350</v>
      </c>
      <c r="F80" s="219">
        <f>'Canyon Gate'!J50</f>
        <v>2695.8333333333335</v>
      </c>
      <c r="G80" s="219"/>
      <c r="H80" s="219">
        <f>'Canyon Gate'!F50</f>
        <v>3499.7777777777774</v>
      </c>
      <c r="I80" s="219">
        <f>'Canyon Gate'!E50</f>
        <v>31498</v>
      </c>
    </row>
    <row r="81" spans="1:13" ht="15" x14ac:dyDescent="0.25">
      <c r="A81" s="195" t="str">
        <f t="shared" si="4"/>
        <v>Lewis Court</v>
      </c>
      <c r="B81" s="194"/>
      <c r="C81" s="219">
        <f>'Lewis Ct'!D54</f>
        <v>53309.997866666701</v>
      </c>
      <c r="D81" s="219"/>
      <c r="E81" s="219">
        <f>'Lewis Ct'!I54</f>
        <v>49970</v>
      </c>
      <c r="F81" s="219">
        <f>'Lewis Ct'!J54</f>
        <v>4164.166666666667</v>
      </c>
      <c r="G81" s="219"/>
      <c r="H81" s="219">
        <f>'Lewis Ct'!F54</f>
        <v>4130.4444444444443</v>
      </c>
      <c r="I81" s="219">
        <f>'Lewis Ct'!E54</f>
        <v>37174</v>
      </c>
    </row>
    <row r="82" spans="1:13" ht="15" x14ac:dyDescent="0.25">
      <c r="A82" s="195" t="str">
        <f t="shared" si="4"/>
        <v>Harlan St</v>
      </c>
      <c r="B82" s="194"/>
      <c r="C82" s="219">
        <f>Harlan!D50</f>
        <v>4710</v>
      </c>
      <c r="D82" s="219"/>
      <c r="E82" s="219">
        <f>Harlan!I50</f>
        <v>2630</v>
      </c>
      <c r="F82" s="219">
        <f>Harlan!J50</f>
        <v>219.16666666666666</v>
      </c>
      <c r="G82" s="219"/>
      <c r="H82" s="219">
        <f>Harlan!F50</f>
        <v>215.22222222222223</v>
      </c>
      <c r="I82" s="219">
        <f>Harlan!E50</f>
        <v>1937</v>
      </c>
    </row>
    <row r="83" spans="1:13" ht="15" x14ac:dyDescent="0.25">
      <c r="A83" s="195" t="str">
        <f t="shared" si="4"/>
        <v>JCHA</v>
      </c>
      <c r="B83" s="194"/>
      <c r="C83" s="222">
        <f>'JCHA '!D64</f>
        <v>9870</v>
      </c>
      <c r="D83" s="222"/>
      <c r="E83" s="222">
        <f>'JCHA '!I64</f>
        <v>9700</v>
      </c>
      <c r="F83" s="222">
        <f>'JCHA '!J64</f>
        <v>808.33333333333337</v>
      </c>
      <c r="G83" s="222"/>
      <c r="H83" s="222">
        <f>'JCHA '!F64</f>
        <v>772.55555555555566</v>
      </c>
      <c r="I83" s="222">
        <f>'JCHA '!E64</f>
        <v>6953</v>
      </c>
    </row>
    <row r="84" spans="1:13" ht="15" x14ac:dyDescent="0.25">
      <c r="A84" s="194"/>
      <c r="B84" s="194"/>
      <c r="C84" s="220"/>
      <c r="D84" s="219"/>
      <c r="E84" s="220"/>
      <c r="F84" s="219"/>
      <c r="G84" s="219"/>
      <c r="H84" s="219"/>
      <c r="I84" s="219"/>
    </row>
    <row r="85" spans="1:13" ht="15.75" thickBot="1" x14ac:dyDescent="0.3">
      <c r="A85" s="193" t="s">
        <v>487</v>
      </c>
      <c r="B85" s="194"/>
      <c r="C85" s="218">
        <f>SUM(C70:C84)</f>
        <v>645629.99786666664</v>
      </c>
      <c r="D85" s="218"/>
      <c r="E85" s="218">
        <f>SUM(E70:E84)</f>
        <v>597990</v>
      </c>
      <c r="F85" s="218">
        <f>SUM(F70:F84)</f>
        <v>49832.5</v>
      </c>
      <c r="G85" s="218"/>
      <c r="H85" s="218">
        <f>SUM(H70:H84)</f>
        <v>50018.666666666657</v>
      </c>
      <c r="I85" s="218">
        <f>SUM(I70:I84)</f>
        <v>450168</v>
      </c>
      <c r="J85" s="178"/>
    </row>
    <row r="86" spans="1:13" ht="15.75" thickTop="1" x14ac:dyDescent="0.25">
      <c r="A86" s="194"/>
      <c r="B86" s="194"/>
      <c r="C86" s="194"/>
      <c r="D86" s="194"/>
      <c r="E86" s="194"/>
      <c r="F86" s="194"/>
      <c r="G86" s="194"/>
      <c r="H86" s="194"/>
      <c r="I86" s="194"/>
    </row>
    <row r="87" spans="1:13" ht="15" x14ac:dyDescent="0.25">
      <c r="A87" s="194"/>
      <c r="B87" s="194"/>
      <c r="C87" s="205"/>
      <c r="D87" s="205"/>
      <c r="E87" s="205"/>
      <c r="F87" s="205"/>
      <c r="G87" s="205"/>
      <c r="H87" s="207"/>
      <c r="I87" s="205"/>
      <c r="J87" s="182"/>
      <c r="M87" s="179" t="e">
        <f>#REF!*5%</f>
        <v>#REF!</v>
      </c>
    </row>
    <row r="88" spans="1:13" ht="15" x14ac:dyDescent="0.25">
      <c r="A88" s="206" t="s">
        <v>451</v>
      </c>
      <c r="B88" s="194"/>
      <c r="C88" s="194"/>
      <c r="D88" s="194"/>
      <c r="E88" s="194"/>
      <c r="F88" s="194"/>
      <c r="G88" s="194"/>
      <c r="H88" s="194"/>
      <c r="I88" s="193"/>
      <c r="J88" s="178"/>
      <c r="M88" s="179" t="e">
        <f>#REF!*5%</f>
        <v>#REF!</v>
      </c>
    </row>
    <row r="89" spans="1:13" ht="15" x14ac:dyDescent="0.25">
      <c r="A89" s="194" t="s">
        <v>466</v>
      </c>
      <c r="B89" s="194"/>
      <c r="C89" s="219">
        <f>'Kendall Apts'!D55</f>
        <v>36490</v>
      </c>
      <c r="D89" s="219"/>
      <c r="E89" s="219">
        <f>'Kendall Apts'!I55</f>
        <v>46140</v>
      </c>
      <c r="F89" s="219">
        <f>'Kendall Apts'!J55</f>
        <v>3845</v>
      </c>
      <c r="G89" s="219"/>
      <c r="H89" s="219">
        <f>'Kendall Apts'!G55</f>
        <v>3596.4444444444439</v>
      </c>
      <c r="I89" s="219">
        <f>'Kendall Apts'!E55</f>
        <v>32368</v>
      </c>
      <c r="M89" s="179" t="e">
        <f>#REF!*5%</f>
        <v>#REF!</v>
      </c>
    </row>
    <row r="90" spans="1:13" ht="15" x14ac:dyDescent="0.25">
      <c r="A90" s="194" t="s">
        <v>468</v>
      </c>
      <c r="B90" s="194"/>
      <c r="C90" s="219">
        <f>'Mtn View'!D55</f>
        <v>23786</v>
      </c>
      <c r="D90" s="219"/>
      <c r="E90" s="219">
        <f>'Mtn View'!I55</f>
        <v>37570</v>
      </c>
      <c r="F90" s="219">
        <f>'Mtn View'!J55</f>
        <v>3130.8333333333335</v>
      </c>
      <c r="G90" s="219"/>
      <c r="H90" s="219">
        <f>'Mtn View'!F55</f>
        <v>5158.7777777777792</v>
      </c>
      <c r="I90" s="219">
        <f>'Mtn View'!E55</f>
        <v>46429</v>
      </c>
      <c r="M90" s="179" t="e">
        <f>#REF!*5%</f>
        <v>#REF!</v>
      </c>
    </row>
    <row r="91" spans="1:13" ht="15" x14ac:dyDescent="0.25">
      <c r="A91" s="194" t="str">
        <f t="shared" ref="A91:A102" si="5">A72</f>
        <v>Section 8</v>
      </c>
      <c r="B91" s="194"/>
      <c r="C91" s="219">
        <v>0</v>
      </c>
      <c r="D91" s="219"/>
      <c r="E91" s="219">
        <v>0</v>
      </c>
      <c r="F91" s="219">
        <v>0</v>
      </c>
      <c r="G91" s="219"/>
      <c r="H91" s="219">
        <v>0</v>
      </c>
      <c r="I91" s="219">
        <v>0</v>
      </c>
      <c r="M91" s="179" t="e">
        <f>#REF!*5%</f>
        <v>#REF!</v>
      </c>
    </row>
    <row r="92" spans="1:13" ht="15" x14ac:dyDescent="0.25">
      <c r="A92" s="195" t="str">
        <f t="shared" si="5"/>
        <v>Rehab</v>
      </c>
      <c r="B92" s="194"/>
      <c r="C92" s="219">
        <f>Rehab!D49</f>
        <v>201070</v>
      </c>
      <c r="D92" s="219"/>
      <c r="E92" s="219">
        <f>Rehab!I49</f>
        <v>250500</v>
      </c>
      <c r="F92" s="219">
        <f>Rehab!J49</f>
        <v>17723.346188888885</v>
      </c>
      <c r="G92" s="219"/>
      <c r="H92" s="219">
        <f>Rehab!F49</f>
        <v>24916.111111111113</v>
      </c>
      <c r="I92" s="219">
        <f>Rehab!E49</f>
        <v>224245</v>
      </c>
    </row>
    <row r="93" spans="1:13" ht="15" x14ac:dyDescent="0.25">
      <c r="A93" s="195" t="str">
        <f t="shared" si="5"/>
        <v>Caesar Square</v>
      </c>
      <c r="B93" s="194"/>
      <c r="C93" s="219">
        <f>'Caesar Sq'!D72</f>
        <v>215290</v>
      </c>
      <c r="D93" s="219"/>
      <c r="E93" s="219">
        <f>'Caesar Sq'!I72</f>
        <v>253120</v>
      </c>
      <c r="F93" s="219">
        <f>'Caesar Sq'!J72</f>
        <v>21093.333333333332</v>
      </c>
      <c r="G93" s="219"/>
      <c r="H93" s="219">
        <f>'Caesar Sq'!F72</f>
        <v>24562.666666666664</v>
      </c>
      <c r="I93" s="219">
        <f>'Caesar Sq'!E72</f>
        <v>221064</v>
      </c>
    </row>
    <row r="94" spans="1:13" ht="15" x14ac:dyDescent="0.25">
      <c r="A94" s="195" t="str">
        <f t="shared" si="5"/>
        <v>Aspen Ridge</v>
      </c>
      <c r="B94" s="194"/>
      <c r="C94" s="219">
        <f>'Aspen Ridge'!D66</f>
        <v>220730</v>
      </c>
      <c r="D94" s="219"/>
      <c r="E94" s="219">
        <f>'Aspen Ridge'!I66</f>
        <v>253930</v>
      </c>
      <c r="F94" s="219">
        <f>'Aspen Ridge'!J66</f>
        <v>21160.833333333332</v>
      </c>
      <c r="G94" s="219"/>
      <c r="H94" s="219">
        <f>'Aspen Ridge'!F66</f>
        <v>20676.555555555551</v>
      </c>
      <c r="I94" s="219">
        <f>'Aspen Ridge'!E66</f>
        <v>186089</v>
      </c>
      <c r="M94" s="179" t="e">
        <f>#REF!*5%</f>
        <v>#REF!</v>
      </c>
    </row>
    <row r="95" spans="1:13" ht="15" x14ac:dyDescent="0.25">
      <c r="A95" s="194" t="str">
        <f t="shared" si="5"/>
        <v>Redwood</v>
      </c>
      <c r="B95" s="194"/>
      <c r="C95" s="219">
        <f>'Redwood Village'!D67</f>
        <v>91210</v>
      </c>
      <c r="D95" s="219"/>
      <c r="E95" s="219">
        <f>'Redwood Village'!I67</f>
        <v>84170</v>
      </c>
      <c r="F95" s="219">
        <f>'Redwood Village'!J67</f>
        <v>7014.166666666667</v>
      </c>
      <c r="G95" s="219"/>
      <c r="H95" s="219">
        <f>'Redwood Village'!F67</f>
        <v>6581.3333333333339</v>
      </c>
      <c r="I95" s="219">
        <f>'Redwood Village'!E67</f>
        <v>59232</v>
      </c>
      <c r="M95" s="179" t="e">
        <f>#REF!*5%</f>
        <v>#REF!</v>
      </c>
    </row>
    <row r="96" spans="1:13" ht="15" x14ac:dyDescent="0.25">
      <c r="A96" s="194" t="str">
        <f t="shared" si="5"/>
        <v>Green Ridge</v>
      </c>
      <c r="B96" s="194"/>
      <c r="C96" s="219">
        <f>'Green Ridge'!D69</f>
        <v>168210</v>
      </c>
      <c r="D96" s="219"/>
      <c r="E96" s="219">
        <f>'Green Ridge'!I69</f>
        <v>179890</v>
      </c>
      <c r="F96" s="219">
        <f>'Green Ridge'!J69</f>
        <v>14990.833333333334</v>
      </c>
      <c r="G96" s="219"/>
      <c r="H96" s="219">
        <f>'Green Ridge'!F69</f>
        <v>12903.555555555557</v>
      </c>
      <c r="I96" s="219">
        <f>'Green Ridge'!E69</f>
        <v>116132</v>
      </c>
      <c r="M96" s="179" t="e">
        <f>#REF!*5%</f>
        <v>#REF!</v>
      </c>
    </row>
    <row r="97" spans="1:13" ht="15" x14ac:dyDescent="0.25">
      <c r="A97" s="194" t="str">
        <f t="shared" si="5"/>
        <v>Glendale</v>
      </c>
      <c r="B97" s="194"/>
      <c r="C97" s="219">
        <f>Glendale!D70</f>
        <v>298160</v>
      </c>
      <c r="D97" s="219"/>
      <c r="E97" s="219">
        <f>Glendale!I70</f>
        <v>336470</v>
      </c>
      <c r="F97" s="219">
        <f>Glendale!J70</f>
        <v>28039.166666666668</v>
      </c>
      <c r="G97" s="219"/>
      <c r="H97" s="219">
        <f>Glendale!F70</f>
        <v>29617.111111111109</v>
      </c>
      <c r="I97" s="219">
        <f>Glendale!E70</f>
        <v>266554</v>
      </c>
      <c r="K97" s="184"/>
      <c r="M97" s="179" t="e">
        <f>#REF!*5%</f>
        <v>#REF!</v>
      </c>
    </row>
    <row r="98" spans="1:13" ht="15" x14ac:dyDescent="0.25">
      <c r="A98" s="195" t="str">
        <f t="shared" si="5"/>
        <v>Viking Square</v>
      </c>
      <c r="B98" s="194"/>
      <c r="C98" s="219">
        <f>'Viking Sq'!D66</f>
        <v>102270</v>
      </c>
      <c r="D98" s="219"/>
      <c r="E98" s="219">
        <f>'Viking Sq'!I66</f>
        <v>113460</v>
      </c>
      <c r="F98" s="219">
        <f>'Viking Sq'!J66</f>
        <v>9455</v>
      </c>
      <c r="G98" s="219"/>
      <c r="H98" s="219">
        <f>'Viking Sq'!F66</f>
        <v>9034.1111111111131</v>
      </c>
      <c r="I98" s="219">
        <f>'Viking Sq'!E66</f>
        <v>81307</v>
      </c>
      <c r="K98" s="191"/>
      <c r="M98" s="179" t="e">
        <f>#REF!*5%</f>
        <v>#REF!</v>
      </c>
    </row>
    <row r="99" spans="1:13" ht="15" x14ac:dyDescent="0.25">
      <c r="A99" s="195" t="str">
        <f t="shared" si="5"/>
        <v>Canyon Gate</v>
      </c>
      <c r="B99" s="194"/>
      <c r="C99" s="219">
        <f>'Canyon Gate'!D68</f>
        <v>118380</v>
      </c>
      <c r="D99" s="219"/>
      <c r="E99" s="219">
        <f>'Canyon Gate'!I68</f>
        <v>154280</v>
      </c>
      <c r="F99" s="219">
        <f>'Canyon Gate'!J68</f>
        <v>12856.666666666666</v>
      </c>
      <c r="G99" s="219"/>
      <c r="H99" s="219">
        <f>'Canyon Gate'!F68</f>
        <v>12680</v>
      </c>
      <c r="I99" s="219">
        <f>'Canyon Gate'!E68</f>
        <v>114120</v>
      </c>
      <c r="K99" s="191"/>
    </row>
    <row r="100" spans="1:13" ht="15" x14ac:dyDescent="0.25">
      <c r="A100" s="195" t="str">
        <f t="shared" si="5"/>
        <v>Lewis Court</v>
      </c>
      <c r="B100" s="194"/>
      <c r="C100" s="219">
        <f>'Lewis Ct'!D71</f>
        <v>114509.8</v>
      </c>
      <c r="D100" s="219"/>
      <c r="E100" s="219">
        <f>'Lewis Ct'!I71</f>
        <v>141320</v>
      </c>
      <c r="F100" s="219">
        <f>'Lewis Ct'!J71</f>
        <v>11776.666666666666</v>
      </c>
      <c r="G100" s="219"/>
      <c r="H100" s="219">
        <f>'Lewis Ct'!F71</f>
        <v>8514.6666666666679</v>
      </c>
      <c r="I100" s="219">
        <f>'Lewis Ct'!E71</f>
        <v>76632</v>
      </c>
      <c r="K100" s="191"/>
    </row>
    <row r="101" spans="1:13" ht="15" x14ac:dyDescent="0.25">
      <c r="A101" s="195" t="str">
        <f t="shared" si="5"/>
        <v>Harlan St</v>
      </c>
      <c r="B101" s="194"/>
      <c r="C101" s="219">
        <f>Harlan!D66</f>
        <v>17690</v>
      </c>
      <c r="D101" s="219"/>
      <c r="E101" s="219">
        <f>Harlan!I66</f>
        <v>23650</v>
      </c>
      <c r="F101" s="219">
        <f>Harlan!J66</f>
        <v>1970.8333333333333</v>
      </c>
      <c r="G101" s="219"/>
      <c r="H101" s="219">
        <f>Harlan!F66</f>
        <v>1461.3333333333333</v>
      </c>
      <c r="I101" s="219">
        <f>Harlan!E66</f>
        <v>13152</v>
      </c>
      <c r="K101" s="191"/>
    </row>
    <row r="102" spans="1:13" ht="15" x14ac:dyDescent="0.25">
      <c r="A102" s="195" t="str">
        <f t="shared" si="5"/>
        <v>JCHA</v>
      </c>
      <c r="B102" s="194"/>
      <c r="C102" s="222">
        <f>'JCHA '!D78</f>
        <v>22570</v>
      </c>
      <c r="D102" s="222"/>
      <c r="E102" s="222">
        <f>'JCHA '!I78</f>
        <v>40180</v>
      </c>
      <c r="F102" s="222">
        <f>'JCHA '!J78</f>
        <v>3348.3333333333335</v>
      </c>
      <c r="G102" s="222"/>
      <c r="H102" s="222">
        <f>'JCHA '!F78</f>
        <v>3181.3333333333335</v>
      </c>
      <c r="I102" s="222">
        <f>'JCHA '!E78</f>
        <v>28632</v>
      </c>
      <c r="K102" s="191"/>
    </row>
    <row r="103" spans="1:13" ht="15" x14ac:dyDescent="0.25">
      <c r="A103" s="194"/>
      <c r="B103" s="193"/>
      <c r="C103" s="220"/>
      <c r="D103" s="219"/>
      <c r="E103" s="220"/>
      <c r="F103" s="219"/>
      <c r="G103" s="219"/>
      <c r="H103" s="219"/>
      <c r="I103" s="219"/>
      <c r="K103" s="191"/>
    </row>
    <row r="104" spans="1:13" ht="15.75" thickBot="1" x14ac:dyDescent="0.3">
      <c r="A104" s="193" t="s">
        <v>488</v>
      </c>
      <c r="B104" s="194"/>
      <c r="C104" s="218">
        <f>SUM(C89:C103)</f>
        <v>1630365.8</v>
      </c>
      <c r="D104" s="218"/>
      <c r="E104" s="218">
        <f>SUM(E89:E103)</f>
        <v>1914680</v>
      </c>
      <c r="F104" s="218">
        <f>SUM(F89:F103)</f>
        <v>156405.01285555557</v>
      </c>
      <c r="G104" s="218"/>
      <c r="H104" s="218">
        <f>SUM(H89:H103)</f>
        <v>162884</v>
      </c>
      <c r="I104" s="218">
        <f>SUM(I89:I103)</f>
        <v>1465956</v>
      </c>
      <c r="J104" s="178"/>
      <c r="K104" s="184"/>
      <c r="M104" s="179" t="e">
        <f>#REF!*5%</f>
        <v>#REF!</v>
      </c>
    </row>
    <row r="105" spans="1:13" ht="15.75" thickTop="1" x14ac:dyDescent="0.25">
      <c r="A105" s="215"/>
      <c r="B105" s="193"/>
      <c r="C105" s="193"/>
      <c r="D105" s="194"/>
      <c r="E105" s="193"/>
      <c r="F105" s="194"/>
      <c r="G105" s="194"/>
      <c r="H105" s="194" t="s">
        <v>464</v>
      </c>
      <c r="I105" s="193"/>
      <c r="J105" s="178"/>
      <c r="K105" s="191"/>
      <c r="M105" s="179" t="e">
        <f>#REF!*5%</f>
        <v>#REF!</v>
      </c>
    </row>
    <row r="106" spans="1:13" ht="15" x14ac:dyDescent="0.25">
      <c r="A106" s="216" t="s">
        <v>77</v>
      </c>
      <c r="B106" s="194"/>
      <c r="C106" s="194"/>
      <c r="D106" s="194"/>
      <c r="E106" s="194"/>
      <c r="F106" s="194"/>
      <c r="G106" s="194"/>
      <c r="H106" s="194" t="s">
        <v>464</v>
      </c>
      <c r="I106" s="194"/>
      <c r="K106" s="191"/>
      <c r="M106" s="179" t="e">
        <f>#REF!*5%</f>
        <v>#REF!</v>
      </c>
    </row>
    <row r="107" spans="1:13" ht="15" x14ac:dyDescent="0.25">
      <c r="A107" s="194" t="s">
        <v>466</v>
      </c>
      <c r="B107" s="194"/>
      <c r="C107" s="219">
        <f>'Kendall Apts'!D65</f>
        <v>57120</v>
      </c>
      <c r="D107" s="219"/>
      <c r="E107" s="219">
        <f>'Kendall Apts'!I65</f>
        <v>60520</v>
      </c>
      <c r="F107" s="219">
        <f>'Kendall Apts'!J65</f>
        <v>5043.3333333333339</v>
      </c>
      <c r="G107" s="219"/>
      <c r="H107" s="219">
        <f>'Kendall Apts'!G65</f>
        <v>4858.666666666667</v>
      </c>
      <c r="I107" s="219">
        <f>'Kendall Apts'!E65</f>
        <v>43728</v>
      </c>
      <c r="K107" s="184"/>
      <c r="M107" s="179" t="e">
        <f>#REF!*5%</f>
        <v>#REF!</v>
      </c>
    </row>
    <row r="108" spans="1:13" ht="15" x14ac:dyDescent="0.25">
      <c r="A108" s="194" t="str">
        <f t="shared" ref="A108:A120" si="6">A90</f>
        <v>Mountain View</v>
      </c>
      <c r="B108" s="194"/>
      <c r="C108" s="219">
        <f>'Mtn View'!D65</f>
        <v>43470</v>
      </c>
      <c r="D108" s="219"/>
      <c r="E108" s="219">
        <f>'Mtn View'!I65</f>
        <v>46630</v>
      </c>
      <c r="F108" s="219">
        <f>'Mtn View'!J65</f>
        <v>3885.8333333333335</v>
      </c>
      <c r="G108" s="219"/>
      <c r="H108" s="219">
        <f>'Mtn View'!F65</f>
        <v>4223.2222222222226</v>
      </c>
      <c r="I108" s="219">
        <f>'Mtn View'!E65</f>
        <v>38009</v>
      </c>
      <c r="K108" s="184"/>
    </row>
    <row r="109" spans="1:13" ht="15" x14ac:dyDescent="0.25">
      <c r="A109" s="194" t="str">
        <f t="shared" si="6"/>
        <v>Section 8</v>
      </c>
      <c r="B109" s="194"/>
      <c r="C109" s="219">
        <f>Vouchers!D49</f>
        <v>206775</v>
      </c>
      <c r="D109" s="219"/>
      <c r="E109" s="219">
        <f>Vouchers!I49</f>
        <v>244770</v>
      </c>
      <c r="F109" s="219">
        <f>Vouchers!J49</f>
        <v>20397.5</v>
      </c>
      <c r="G109" s="219"/>
      <c r="H109" s="219">
        <f>Vouchers!F49</f>
        <v>16290.111111111111</v>
      </c>
      <c r="I109" s="219">
        <f>Vouchers!E49</f>
        <v>146611</v>
      </c>
      <c r="K109" s="184"/>
    </row>
    <row r="110" spans="1:13" ht="15" x14ac:dyDescent="0.25">
      <c r="A110" s="195" t="str">
        <f t="shared" si="6"/>
        <v>Rehab</v>
      </c>
      <c r="B110" s="194"/>
      <c r="C110" s="219">
        <f>Rehab!D62</f>
        <v>43230</v>
      </c>
      <c r="D110" s="219"/>
      <c r="E110" s="219">
        <f>Rehab!I62</f>
        <v>64500</v>
      </c>
      <c r="F110" s="219">
        <f>Rehab!J62</f>
        <v>3632.4943645833332</v>
      </c>
      <c r="G110" s="219"/>
      <c r="H110" s="219">
        <f>Rehab!F62</f>
        <v>4193.2222222222235</v>
      </c>
      <c r="I110" s="219">
        <f>Rehab!E62</f>
        <v>37739</v>
      </c>
      <c r="K110" s="184"/>
    </row>
    <row r="111" spans="1:13" ht="15" x14ac:dyDescent="0.25">
      <c r="A111" s="195" t="str">
        <f t="shared" si="6"/>
        <v>Caesar Square</v>
      </c>
      <c r="B111" s="194"/>
      <c r="C111" s="219">
        <f>'Caesar Sq'!D82</f>
        <v>210410</v>
      </c>
      <c r="D111" s="219"/>
      <c r="E111" s="219">
        <f>'Caesar Sq'!I82</f>
        <v>217820</v>
      </c>
      <c r="F111" s="219">
        <f>'Caesar Sq'!J82</f>
        <v>18151.666666666668</v>
      </c>
      <c r="G111" s="219"/>
      <c r="H111" s="219">
        <f>'Caesar Sq'!F82</f>
        <v>18064.555555555555</v>
      </c>
      <c r="I111" s="219">
        <f>'Caesar Sq'!E82</f>
        <v>162581</v>
      </c>
      <c r="K111" s="184"/>
      <c r="M111" s="179" t="e">
        <f>#REF!*5%</f>
        <v>#REF!</v>
      </c>
    </row>
    <row r="112" spans="1:13" ht="15" x14ac:dyDescent="0.25">
      <c r="A112" s="195" t="str">
        <f t="shared" si="6"/>
        <v>Aspen Ridge</v>
      </c>
      <c r="B112" s="194"/>
      <c r="C112" s="219">
        <f>'Aspen Ridge'!D76</f>
        <v>237100</v>
      </c>
      <c r="D112" s="219"/>
      <c r="E112" s="219">
        <f>'Aspen Ridge'!I76</f>
        <v>251040</v>
      </c>
      <c r="F112" s="219">
        <f>'Aspen Ridge'!J76</f>
        <v>20920</v>
      </c>
      <c r="G112" s="219"/>
      <c r="H112" s="219">
        <f>'Aspen Ridge'!F76</f>
        <v>21647.888888888887</v>
      </c>
      <c r="I112" s="219">
        <f>'Aspen Ridge'!E76</f>
        <v>194831</v>
      </c>
      <c r="K112" s="184"/>
      <c r="M112" s="179" t="e">
        <f>#REF!*5%</f>
        <v>#REF!</v>
      </c>
    </row>
    <row r="113" spans="1:13" ht="15" x14ac:dyDescent="0.25">
      <c r="A113" s="194" t="str">
        <f t="shared" si="6"/>
        <v>Redwood</v>
      </c>
      <c r="B113" s="194"/>
      <c r="C113" s="219">
        <f>'Redwood Village'!D77</f>
        <v>113850</v>
      </c>
      <c r="D113" s="219"/>
      <c r="E113" s="219">
        <f>'Redwood Village'!I77</f>
        <v>118840</v>
      </c>
      <c r="F113" s="219">
        <f>'Redwood Village'!J77</f>
        <v>9903.3333333333321</v>
      </c>
      <c r="G113" s="219"/>
      <c r="H113" s="219">
        <f>'Redwood Village'!F77</f>
        <v>9451.1111111111113</v>
      </c>
      <c r="I113" s="219">
        <f>'Redwood Village'!E77</f>
        <v>85060</v>
      </c>
      <c r="K113" s="184"/>
      <c r="M113" s="179" t="e">
        <f>#REF!*5%</f>
        <v>#REF!</v>
      </c>
    </row>
    <row r="114" spans="1:13" ht="15" x14ac:dyDescent="0.25">
      <c r="A114" s="194" t="str">
        <f t="shared" si="6"/>
        <v>Green Ridge</v>
      </c>
      <c r="B114" s="194"/>
      <c r="C114" s="219">
        <f>'Green Ridge'!D81</f>
        <v>159370</v>
      </c>
      <c r="D114" s="219"/>
      <c r="E114" s="219">
        <f>'Green Ridge'!I81</f>
        <v>173660</v>
      </c>
      <c r="F114" s="219">
        <f>'Green Ridge'!J81</f>
        <v>14471.666666666668</v>
      </c>
      <c r="G114" s="219"/>
      <c r="H114" s="219">
        <f>'Green Ridge'!F81</f>
        <v>14149.666666666666</v>
      </c>
      <c r="I114" s="219">
        <f>'Green Ridge'!E81</f>
        <v>127347</v>
      </c>
      <c r="K114" s="184"/>
      <c r="M114" s="179" t="e">
        <f>#REF!*5%</f>
        <v>#REF!</v>
      </c>
    </row>
    <row r="115" spans="1:13" ht="15" x14ac:dyDescent="0.25">
      <c r="A115" s="194" t="str">
        <f t="shared" si="6"/>
        <v>Glendale</v>
      </c>
      <c r="B115" s="194"/>
      <c r="C115" s="219">
        <f>Glendale!D81</f>
        <v>372638</v>
      </c>
      <c r="D115" s="219"/>
      <c r="E115" s="219">
        <f>Glendale!I81</f>
        <v>349700</v>
      </c>
      <c r="F115" s="219">
        <f>Glendale!J81</f>
        <v>29141.666666666664</v>
      </c>
      <c r="G115" s="219"/>
      <c r="H115" s="219">
        <f>Glendale!F81</f>
        <v>28546.777777777777</v>
      </c>
      <c r="I115" s="219">
        <f>Glendale!E81</f>
        <v>256921</v>
      </c>
      <c r="M115" s="179" t="e">
        <f>#REF!*5%</f>
        <v>#REF!</v>
      </c>
    </row>
    <row r="116" spans="1:13" ht="15" x14ac:dyDescent="0.25">
      <c r="A116" s="195" t="str">
        <f t="shared" si="6"/>
        <v>Viking Square</v>
      </c>
      <c r="B116" s="194"/>
      <c r="C116" s="219">
        <f>'Viking Sq'!D79</f>
        <v>128890</v>
      </c>
      <c r="D116" s="219"/>
      <c r="E116" s="219">
        <f>'Viking Sq'!I79</f>
        <v>128560</v>
      </c>
      <c r="F116" s="219">
        <f>'Viking Sq'!J79</f>
        <v>10713.333333333334</v>
      </c>
      <c r="G116" s="219"/>
      <c r="H116" s="219">
        <f>'Viking Sq'!F79</f>
        <v>10356.111111111111</v>
      </c>
      <c r="I116" s="219">
        <f>'Viking Sq'!E79</f>
        <v>93205</v>
      </c>
      <c r="M116" s="179" t="e">
        <f>#REF!*5%</f>
        <v>#REF!</v>
      </c>
    </row>
    <row r="117" spans="1:13" ht="15" x14ac:dyDescent="0.25">
      <c r="A117" s="195" t="str">
        <f t="shared" si="6"/>
        <v>Canyon Gate</v>
      </c>
      <c r="B117" s="194"/>
      <c r="C117" s="219">
        <f>'Canyon Gate'!D80</f>
        <v>80690</v>
      </c>
      <c r="D117" s="219"/>
      <c r="E117" s="219">
        <f>'Canyon Gate'!I80</f>
        <v>82750</v>
      </c>
      <c r="F117" s="219">
        <f>'Canyon Gate'!J80</f>
        <v>6895.8333333333339</v>
      </c>
      <c r="G117" s="219"/>
      <c r="H117" s="219">
        <f>'Canyon Gate'!F80</f>
        <v>6079.5555555555547</v>
      </c>
      <c r="I117" s="219">
        <f>'Canyon Gate'!E80</f>
        <v>54716</v>
      </c>
    </row>
    <row r="118" spans="1:13" ht="15" x14ac:dyDescent="0.25">
      <c r="A118" s="195" t="str">
        <f t="shared" si="6"/>
        <v>Lewis Court</v>
      </c>
      <c r="B118" s="194"/>
      <c r="C118" s="219">
        <f>'Lewis Ct'!D82</f>
        <v>366790</v>
      </c>
      <c r="D118" s="219"/>
      <c r="E118" s="219">
        <f>'Lewis Ct'!I82</f>
        <v>365470</v>
      </c>
      <c r="F118" s="219">
        <f>'Lewis Ct'!J82</f>
        <v>30455.833333333336</v>
      </c>
      <c r="G118" s="219"/>
      <c r="H118" s="219">
        <f>'Lewis Ct'!F82</f>
        <v>29514.666666666664</v>
      </c>
      <c r="I118" s="219">
        <f>'Lewis Ct'!E82</f>
        <v>265632</v>
      </c>
    </row>
    <row r="119" spans="1:13" ht="15" x14ac:dyDescent="0.25">
      <c r="A119" s="195" t="str">
        <f t="shared" si="6"/>
        <v>Harlan St</v>
      </c>
      <c r="B119" s="194"/>
      <c r="C119" s="219">
        <f>Harlan!D76</f>
        <v>10230</v>
      </c>
      <c r="D119" s="219"/>
      <c r="E119" s="219">
        <f>Harlan!I76</f>
        <v>12510</v>
      </c>
      <c r="F119" s="219">
        <f>Harlan!J76</f>
        <v>1042.5</v>
      </c>
      <c r="G119" s="219"/>
      <c r="H119" s="219">
        <f>Harlan!F76</f>
        <v>1027.4444444444443</v>
      </c>
      <c r="I119" s="219">
        <f>Harlan!E76</f>
        <v>9247</v>
      </c>
    </row>
    <row r="120" spans="1:13" ht="15" x14ac:dyDescent="0.25">
      <c r="A120" s="195" t="str">
        <f t="shared" si="6"/>
        <v>JCHA</v>
      </c>
      <c r="B120" s="194"/>
      <c r="C120" s="222">
        <f>'JCHA '!D89</f>
        <v>186590</v>
      </c>
      <c r="D120" s="222"/>
      <c r="E120" s="222">
        <f>'JCHA '!I89</f>
        <v>188065</v>
      </c>
      <c r="F120" s="222">
        <f>'JCHA '!J89</f>
        <v>15672.083333333334</v>
      </c>
      <c r="G120" s="222"/>
      <c r="H120" s="222">
        <f>'JCHA '!F89</f>
        <v>21059.555555555555</v>
      </c>
      <c r="I120" s="222">
        <f>'JCHA '!E89</f>
        <v>189536</v>
      </c>
    </row>
    <row r="121" spans="1:13" s="183" customFormat="1" ht="15" x14ac:dyDescent="0.25">
      <c r="A121" s="194"/>
      <c r="B121" s="211"/>
      <c r="C121" s="220"/>
      <c r="D121" s="220"/>
      <c r="E121" s="220"/>
      <c r="F121" s="220"/>
      <c r="G121" s="220"/>
      <c r="H121" s="220"/>
      <c r="I121" s="220"/>
      <c r="K121" s="184"/>
    </row>
    <row r="122" spans="1:13" ht="15.75" thickBot="1" x14ac:dyDescent="0.3">
      <c r="A122" s="193" t="s">
        <v>85</v>
      </c>
      <c r="B122" s="194"/>
      <c r="C122" s="218">
        <f>SUM(C107:C121)</f>
        <v>2217153</v>
      </c>
      <c r="D122" s="218"/>
      <c r="E122" s="218">
        <f>SUM(E107:E121)</f>
        <v>2304835</v>
      </c>
      <c r="F122" s="218">
        <f>SUM(F107:F121)</f>
        <v>190327.07769791671</v>
      </c>
      <c r="G122" s="218"/>
      <c r="H122" s="218">
        <f>SUM(H107:H121)</f>
        <v>189462.55555555556</v>
      </c>
      <c r="I122" s="218">
        <f>SUM(I107:I121)</f>
        <v>1705163</v>
      </c>
      <c r="J122" s="178"/>
      <c r="M122" s="179" t="e">
        <f>#REF!*5%</f>
        <v>#REF!</v>
      </c>
    </row>
    <row r="123" spans="1:13" ht="15.75" thickTop="1" x14ac:dyDescent="0.25">
      <c r="A123" s="193"/>
      <c r="B123" s="194"/>
      <c r="C123" s="194"/>
      <c r="D123" s="193"/>
      <c r="E123" s="194"/>
      <c r="F123" s="193"/>
      <c r="G123" s="193"/>
      <c r="H123" s="193"/>
      <c r="I123" s="193"/>
      <c r="J123" s="178"/>
      <c r="M123" s="179" t="e">
        <f>#REF!*5%</f>
        <v>#REF!</v>
      </c>
    </row>
    <row r="124" spans="1:13" ht="15" x14ac:dyDescent="0.25">
      <c r="A124" s="217"/>
      <c r="B124" s="194"/>
      <c r="C124" s="194"/>
      <c r="D124" s="194"/>
      <c r="E124" s="194"/>
      <c r="F124" s="194"/>
      <c r="G124" s="194"/>
      <c r="H124" s="194"/>
      <c r="I124" s="194"/>
    </row>
    <row r="125" spans="1:13" ht="15" x14ac:dyDescent="0.25">
      <c r="A125" s="206" t="s">
        <v>296</v>
      </c>
      <c r="B125" s="194"/>
      <c r="C125" s="194"/>
      <c r="D125" s="194"/>
      <c r="E125" s="194"/>
      <c r="F125" s="194"/>
      <c r="G125" s="194"/>
      <c r="H125" s="194" t="s">
        <v>464</v>
      </c>
      <c r="I125" s="194"/>
      <c r="M125" s="179" t="e">
        <f>#REF!*5%</f>
        <v>#REF!</v>
      </c>
    </row>
    <row r="126" spans="1:13" ht="15" x14ac:dyDescent="0.25">
      <c r="A126" s="194" t="str">
        <f t="shared" ref="A126:A139" si="7">A107</f>
        <v>Kendall</v>
      </c>
      <c r="B126" s="194"/>
      <c r="C126" s="219">
        <v>0</v>
      </c>
      <c r="D126" s="219"/>
      <c r="E126" s="219">
        <v>0</v>
      </c>
      <c r="F126" s="219">
        <v>0</v>
      </c>
      <c r="G126" s="219"/>
      <c r="H126" s="219">
        <v>0</v>
      </c>
      <c r="I126" s="219">
        <v>0</v>
      </c>
    </row>
    <row r="127" spans="1:13" ht="15" x14ac:dyDescent="0.25">
      <c r="A127" s="194" t="str">
        <f t="shared" si="7"/>
        <v>Mountain View</v>
      </c>
      <c r="B127" s="194"/>
      <c r="C127" s="219">
        <f>'Mtn View'!D70</f>
        <v>58240</v>
      </c>
      <c r="D127" s="219"/>
      <c r="E127" s="219">
        <f>'Mtn View'!I70</f>
        <v>58240</v>
      </c>
      <c r="F127" s="219">
        <f>'Mtn View'!J70</f>
        <v>4853.333333333333</v>
      </c>
      <c r="G127" s="219"/>
      <c r="H127" s="219">
        <f>'Mtn View'!F70</f>
        <v>5393.2222222222226</v>
      </c>
      <c r="I127" s="219">
        <f>'Mtn View'!E70</f>
        <v>48539</v>
      </c>
    </row>
    <row r="128" spans="1:13" ht="15" x14ac:dyDescent="0.25">
      <c r="A128" s="194" t="str">
        <f t="shared" si="7"/>
        <v>Section 8</v>
      </c>
      <c r="B128" s="194"/>
      <c r="C128" s="219">
        <v>0</v>
      </c>
      <c r="D128" s="219"/>
      <c r="E128" s="219">
        <v>0</v>
      </c>
      <c r="F128" s="219">
        <v>0</v>
      </c>
      <c r="G128" s="219"/>
      <c r="H128" s="219">
        <v>0</v>
      </c>
      <c r="I128" s="219">
        <v>0</v>
      </c>
    </row>
    <row r="129" spans="1:13" ht="15" x14ac:dyDescent="0.25">
      <c r="A129" s="195" t="str">
        <f t="shared" si="7"/>
        <v>Rehab</v>
      </c>
      <c r="B129" s="194"/>
      <c r="C129" s="219">
        <v>0</v>
      </c>
      <c r="D129" s="219"/>
      <c r="E129" s="219">
        <v>0</v>
      </c>
      <c r="F129" s="219">
        <v>0</v>
      </c>
      <c r="G129" s="219"/>
      <c r="H129" s="219">
        <v>0</v>
      </c>
      <c r="I129" s="219">
        <v>0</v>
      </c>
    </row>
    <row r="130" spans="1:13" ht="15" x14ac:dyDescent="0.25">
      <c r="A130" s="195" t="str">
        <f t="shared" si="7"/>
        <v>Caesar Square</v>
      </c>
      <c r="B130" s="194"/>
      <c r="C130" s="219">
        <f>'Caesar Sq'!D87</f>
        <v>262820</v>
      </c>
      <c r="D130" s="219"/>
      <c r="E130" s="219">
        <f>'Caesar Sq'!I87</f>
        <v>175220</v>
      </c>
      <c r="F130" s="219">
        <f>'Caesar Sq'!J87</f>
        <v>14601.666666666668</v>
      </c>
      <c r="G130" s="219"/>
      <c r="H130" s="219">
        <f>'Caesar Sq'!F87</f>
        <v>24335.222222222223</v>
      </c>
      <c r="I130" s="219">
        <f>'Caesar Sq'!E87</f>
        <v>219017</v>
      </c>
    </row>
    <row r="131" spans="1:13" ht="15" x14ac:dyDescent="0.25">
      <c r="A131" s="195" t="str">
        <f t="shared" si="7"/>
        <v>Aspen Ridge</v>
      </c>
      <c r="B131" s="194"/>
      <c r="C131" s="219">
        <f>'Aspen Ridge'!D81</f>
        <v>241400</v>
      </c>
      <c r="D131" s="219"/>
      <c r="E131" s="219">
        <f>'Aspen Ridge'!I81</f>
        <v>241400</v>
      </c>
      <c r="F131" s="219">
        <f>'Aspen Ridge'!J81</f>
        <v>20116.666666666664</v>
      </c>
      <c r="G131" s="219"/>
      <c r="H131" s="219">
        <f>'Aspen Ridge'!F81</f>
        <v>22351.888888888891</v>
      </c>
      <c r="I131" s="219">
        <f>'Aspen Ridge'!E81</f>
        <v>201167</v>
      </c>
    </row>
    <row r="132" spans="1:13" ht="15" x14ac:dyDescent="0.25">
      <c r="A132" s="194" t="str">
        <f t="shared" si="7"/>
        <v>Redwood</v>
      </c>
      <c r="B132" s="194"/>
      <c r="C132" s="219">
        <f>'Redwood Village'!D82</f>
        <v>88470</v>
      </c>
      <c r="D132" s="219"/>
      <c r="E132" s="219">
        <f>'Redwood Village'!I82</f>
        <v>88470</v>
      </c>
      <c r="F132" s="219">
        <f>'Redwood Village'!J82</f>
        <v>7372.5</v>
      </c>
      <c r="G132" s="219"/>
      <c r="H132" s="219">
        <f>'Redwood Village'!F82</f>
        <v>8191.7777777777783</v>
      </c>
      <c r="I132" s="219">
        <f>'Redwood Village'!E82</f>
        <v>73726</v>
      </c>
    </row>
    <row r="133" spans="1:13" ht="15" x14ac:dyDescent="0.25">
      <c r="A133" s="194" t="str">
        <f t="shared" si="7"/>
        <v>Green Ridge</v>
      </c>
      <c r="B133" s="194"/>
      <c r="C133" s="219">
        <f>'Green Ridge'!D86</f>
        <v>189300</v>
      </c>
      <c r="D133" s="219"/>
      <c r="E133" s="219">
        <f>'Green Ridge'!I86</f>
        <v>189300</v>
      </c>
      <c r="F133" s="219">
        <f>'Green Ridge'!J86</f>
        <v>15775</v>
      </c>
      <c r="G133" s="219"/>
      <c r="H133" s="219">
        <f>'Green Ridge'!F86</f>
        <v>17527.777777777777</v>
      </c>
      <c r="I133" s="219">
        <f>'Green Ridge'!E86</f>
        <v>157750</v>
      </c>
    </row>
    <row r="134" spans="1:13" ht="15" x14ac:dyDescent="0.25">
      <c r="A134" s="194" t="str">
        <f t="shared" si="7"/>
        <v>Glendale</v>
      </c>
      <c r="B134" s="194"/>
      <c r="C134" s="219">
        <f>Glendale!D87</f>
        <v>246210</v>
      </c>
      <c r="D134" s="219"/>
      <c r="E134" s="219">
        <f>Glendale!I87</f>
        <v>246210</v>
      </c>
      <c r="F134" s="219">
        <f>Glendale!J87</f>
        <v>20517.5</v>
      </c>
      <c r="G134" s="219"/>
      <c r="H134" s="219">
        <f>Glendale!F87</f>
        <v>22797.333333333336</v>
      </c>
      <c r="I134" s="219">
        <f>Glendale!E87</f>
        <v>205176</v>
      </c>
    </row>
    <row r="135" spans="1:13" ht="15" x14ac:dyDescent="0.25">
      <c r="A135" s="195" t="str">
        <f t="shared" si="7"/>
        <v>Viking Square</v>
      </c>
      <c r="B135" s="194"/>
      <c r="C135" s="219">
        <f>'Viking Sq'!D83</f>
        <v>102190</v>
      </c>
      <c r="D135" s="219"/>
      <c r="E135" s="219">
        <f>'Viking Sq'!I83</f>
        <v>102190</v>
      </c>
      <c r="F135" s="219">
        <f>'Viking Sq'!J83</f>
        <v>8515.8333333333339</v>
      </c>
      <c r="G135" s="219"/>
      <c r="H135" s="219">
        <f>'Viking Sq'!F83</f>
        <v>8516.6666666666661</v>
      </c>
      <c r="I135" s="219">
        <f>'Viking Sq'!E83</f>
        <v>76650</v>
      </c>
    </row>
    <row r="136" spans="1:13" ht="15" x14ac:dyDescent="0.25">
      <c r="A136" s="195" t="str">
        <f t="shared" si="7"/>
        <v>Canyon Gate</v>
      </c>
      <c r="B136" s="194"/>
      <c r="C136" s="219">
        <f>'Canyon Gate'!D85</f>
        <v>169630</v>
      </c>
      <c r="D136" s="219"/>
      <c r="E136" s="219">
        <f>'Canyon Gate'!I85</f>
        <v>169630</v>
      </c>
      <c r="F136" s="219">
        <f>'Canyon Gate'!J85</f>
        <v>14135.833333333334</v>
      </c>
      <c r="G136" s="219"/>
      <c r="H136" s="219">
        <f>'Canyon Gate'!F85</f>
        <v>15705.777777777777</v>
      </c>
      <c r="I136" s="219">
        <f>'Canyon Gate'!E85</f>
        <v>141352</v>
      </c>
    </row>
    <row r="137" spans="1:13" ht="15" x14ac:dyDescent="0.25">
      <c r="A137" s="195" t="str">
        <f t="shared" si="7"/>
        <v>Lewis Court</v>
      </c>
      <c r="B137" s="194"/>
      <c r="C137" s="219">
        <f>'Lewis Ct'!D88</f>
        <v>23400</v>
      </c>
      <c r="D137" s="219"/>
      <c r="E137" s="219">
        <f>'Lewis Ct'!I88</f>
        <v>26420</v>
      </c>
      <c r="F137" s="219">
        <f>'Lewis Ct'!J88</f>
        <v>2201.6666666666665</v>
      </c>
      <c r="G137" s="219"/>
      <c r="H137" s="219">
        <f>'Lewis Ct'!F88</f>
        <v>2446</v>
      </c>
      <c r="I137" s="219">
        <f>'Lewis Ct'!E88</f>
        <v>22014</v>
      </c>
    </row>
    <row r="138" spans="1:13" ht="15" x14ac:dyDescent="0.25">
      <c r="A138" s="195" t="str">
        <f t="shared" si="7"/>
        <v>Harlan St</v>
      </c>
      <c r="B138" s="194"/>
      <c r="C138" s="219">
        <f>Harlan!D81</f>
        <v>27420</v>
      </c>
      <c r="D138" s="219"/>
      <c r="E138" s="219">
        <f>Harlan!I81</f>
        <v>27420</v>
      </c>
      <c r="F138" s="219">
        <f>Harlan!J81</f>
        <v>2285</v>
      </c>
      <c r="G138" s="219"/>
      <c r="H138" s="219">
        <f>Harlan!F81</f>
        <v>2538.8888888888887</v>
      </c>
      <c r="I138" s="219">
        <f>Harlan!E81</f>
        <v>22850</v>
      </c>
    </row>
    <row r="139" spans="1:13" ht="15" x14ac:dyDescent="0.25">
      <c r="A139" s="195" t="str">
        <f t="shared" si="7"/>
        <v>JCHA</v>
      </c>
      <c r="B139" s="194"/>
      <c r="C139" s="222">
        <v>0</v>
      </c>
      <c r="D139" s="222"/>
      <c r="E139" s="222">
        <v>0</v>
      </c>
      <c r="F139" s="222">
        <v>0</v>
      </c>
      <c r="G139" s="222"/>
      <c r="H139" s="222">
        <v>0</v>
      </c>
      <c r="I139" s="222">
        <v>0</v>
      </c>
    </row>
    <row r="140" spans="1:13" s="183" customFormat="1" ht="15" x14ac:dyDescent="0.25">
      <c r="A140" s="211"/>
      <c r="B140" s="211"/>
      <c r="C140" s="220"/>
      <c r="D140" s="220"/>
      <c r="E140" s="220"/>
      <c r="F140" s="219"/>
      <c r="G140" s="220"/>
      <c r="H140" s="220"/>
      <c r="I140" s="220"/>
      <c r="K140" s="180"/>
    </row>
    <row r="141" spans="1:13" ht="15.75" thickBot="1" x14ac:dyDescent="0.3">
      <c r="A141" s="202" t="s">
        <v>489</v>
      </c>
      <c r="B141" s="194"/>
      <c r="C141" s="218">
        <f t="shared" ref="C141" si="8">SUM(C126:C140)</f>
        <v>1409080</v>
      </c>
      <c r="D141" s="218"/>
      <c r="E141" s="218">
        <f t="shared" ref="E141:I141" si="9">SUM(E126:E140)</f>
        <v>1324500</v>
      </c>
      <c r="F141" s="218">
        <f t="shared" si="9"/>
        <v>110374.99999999999</v>
      </c>
      <c r="G141" s="218"/>
      <c r="H141" s="218">
        <f t="shared" si="9"/>
        <v>129804.55555555556</v>
      </c>
      <c r="I141" s="218">
        <f t="shared" si="9"/>
        <v>1168241</v>
      </c>
      <c r="J141" s="178"/>
      <c r="M141" s="179" t="e">
        <f>#REF!*5%</f>
        <v>#REF!</v>
      </c>
    </row>
    <row r="142" spans="1:13" ht="15.75" thickTop="1" x14ac:dyDescent="0.25">
      <c r="A142" s="194"/>
      <c r="B142" s="194"/>
      <c r="C142" s="219"/>
      <c r="D142" s="219"/>
      <c r="E142" s="219"/>
      <c r="F142" s="219"/>
      <c r="G142" s="219"/>
      <c r="H142" s="219" t="s">
        <v>464</v>
      </c>
      <c r="I142" s="219"/>
      <c r="M142" s="179" t="e">
        <f>#REF!*5%</f>
        <v>#REF!</v>
      </c>
    </row>
    <row r="143" spans="1:13" ht="15" x14ac:dyDescent="0.25">
      <c r="A143" s="206" t="s">
        <v>78</v>
      </c>
      <c r="B143" s="194"/>
      <c r="C143" s="219"/>
      <c r="D143" s="219"/>
      <c r="E143" s="219"/>
      <c r="F143" s="219"/>
      <c r="G143" s="219"/>
      <c r="H143" s="219" t="s">
        <v>464</v>
      </c>
      <c r="I143" s="219"/>
      <c r="M143" s="179" t="e">
        <f>#REF!*5%</f>
        <v>#REF!</v>
      </c>
    </row>
    <row r="144" spans="1:13" ht="15" x14ac:dyDescent="0.25">
      <c r="A144" s="194" t="s">
        <v>466</v>
      </c>
      <c r="B144" s="194"/>
      <c r="C144" s="219">
        <f>'Kendall Apts'!D69</f>
        <v>6300</v>
      </c>
      <c r="D144" s="219"/>
      <c r="E144" s="219">
        <f>'Kendall Apts'!I69</f>
        <v>12600</v>
      </c>
      <c r="F144" s="219">
        <f>'Kendall Apts'!J69</f>
        <v>1050</v>
      </c>
      <c r="G144" s="219"/>
      <c r="H144" s="219">
        <f>'Kendall Apts'!G69</f>
        <v>525</v>
      </c>
      <c r="I144" s="219">
        <f>'Kendall Apts'!E69</f>
        <v>4725</v>
      </c>
    </row>
    <row r="145" spans="1:13" ht="15" x14ac:dyDescent="0.25">
      <c r="A145" s="194" t="str">
        <f>A127</f>
        <v>Mountain View</v>
      </c>
      <c r="B145" s="194"/>
      <c r="C145" s="219">
        <f>'Mtn View'!D74</f>
        <v>3600</v>
      </c>
      <c r="D145" s="219"/>
      <c r="E145" s="219">
        <f>'Mtn View'!I74</f>
        <v>3600</v>
      </c>
      <c r="F145" s="219">
        <f>'Mtn View'!J74</f>
        <v>300</v>
      </c>
      <c r="G145" s="219"/>
      <c r="H145" s="219">
        <f>'Mtn View'!F74</f>
        <v>312.44444444444446</v>
      </c>
      <c r="I145" s="219">
        <f>'Mtn View'!E74</f>
        <v>2812</v>
      </c>
    </row>
    <row r="146" spans="1:13" ht="15" x14ac:dyDescent="0.25">
      <c r="A146" s="194" t="str">
        <f>A128</f>
        <v>Section 8</v>
      </c>
      <c r="B146" s="194"/>
      <c r="C146" s="219">
        <v>0</v>
      </c>
      <c r="D146" s="219"/>
      <c r="E146" s="219">
        <v>0</v>
      </c>
      <c r="F146" s="219">
        <v>0</v>
      </c>
      <c r="G146" s="219"/>
      <c r="H146" s="219">
        <v>0</v>
      </c>
      <c r="I146" s="219">
        <v>0</v>
      </c>
    </row>
    <row r="147" spans="1:13" ht="15" x14ac:dyDescent="0.25">
      <c r="A147" s="195" t="str">
        <f>A129</f>
        <v>Rehab</v>
      </c>
      <c r="B147" s="194"/>
      <c r="C147" s="219">
        <v>0</v>
      </c>
      <c r="D147" s="219"/>
      <c r="E147" s="219">
        <v>0</v>
      </c>
      <c r="F147" s="219">
        <v>0</v>
      </c>
      <c r="G147" s="219"/>
      <c r="H147" s="219">
        <v>0</v>
      </c>
      <c r="I147" s="219">
        <v>0</v>
      </c>
    </row>
    <row r="148" spans="1:13" ht="15" x14ac:dyDescent="0.25">
      <c r="A148" s="195" t="str">
        <f>A130</f>
        <v>Caesar Square</v>
      </c>
      <c r="B148" s="194"/>
      <c r="C148" s="219">
        <f>'Caesar Sq'!D91</f>
        <v>36000</v>
      </c>
      <c r="D148" s="219"/>
      <c r="E148" s="219">
        <f>'Caesar Sq'!I91</f>
        <v>36000</v>
      </c>
      <c r="F148" s="219">
        <f>'Caesar Sq'!J91</f>
        <v>3000</v>
      </c>
      <c r="G148" s="219"/>
      <c r="H148" s="219">
        <f>'Caesar Sq'!F91</f>
        <v>3000</v>
      </c>
      <c r="I148" s="219">
        <f>'Caesar Sq'!E91</f>
        <v>27000</v>
      </c>
    </row>
    <row r="149" spans="1:13" ht="15" x14ac:dyDescent="0.25">
      <c r="A149" s="195" t="s">
        <v>471</v>
      </c>
      <c r="B149" s="194"/>
      <c r="C149" s="219">
        <f>'Aspen Ridge'!D85</f>
        <v>31500</v>
      </c>
      <c r="D149" s="219"/>
      <c r="E149" s="219">
        <f>'Aspen Ridge'!I85</f>
        <v>31500</v>
      </c>
      <c r="F149" s="219">
        <f>'Aspen Ridge'!J85</f>
        <v>2625</v>
      </c>
      <c r="G149" s="219"/>
      <c r="H149" s="219">
        <f>'Aspen Ridge'!F85</f>
        <v>2625</v>
      </c>
      <c r="I149" s="219">
        <f>'Aspen Ridge'!E85</f>
        <v>23625</v>
      </c>
    </row>
    <row r="150" spans="1:13" ht="15" x14ac:dyDescent="0.25">
      <c r="A150" s="194" t="str">
        <f t="shared" ref="A150:A157" si="10">A132</f>
        <v>Redwood</v>
      </c>
      <c r="B150" s="194"/>
      <c r="C150" s="219">
        <f>'Redwood Village'!D87</f>
        <v>15000</v>
      </c>
      <c r="D150" s="219"/>
      <c r="E150" s="219">
        <f>'Redwood Village'!I87</f>
        <v>15000</v>
      </c>
      <c r="F150" s="219">
        <f>'Redwood Village'!J87</f>
        <v>1250</v>
      </c>
      <c r="G150" s="219"/>
      <c r="H150" s="219">
        <f>'Redwood Village'!F87</f>
        <v>1250</v>
      </c>
      <c r="I150" s="219">
        <f>'Redwood Village'!E87</f>
        <v>11250</v>
      </c>
    </row>
    <row r="151" spans="1:13" ht="15" x14ac:dyDescent="0.25">
      <c r="A151" s="194" t="str">
        <f t="shared" si="10"/>
        <v>Green Ridge</v>
      </c>
      <c r="B151" s="194"/>
      <c r="C151" s="219">
        <f>'Green Ridge'!D90</f>
        <v>9930</v>
      </c>
      <c r="D151" s="219"/>
      <c r="E151" s="219">
        <f>'Green Ridge'!I90</f>
        <v>9930</v>
      </c>
      <c r="F151" s="219">
        <f>'Green Ridge'!J90</f>
        <v>827.5</v>
      </c>
      <c r="G151" s="219"/>
      <c r="H151" s="219">
        <f>'Green Ridge'!F90</f>
        <v>827.55555555555554</v>
      </c>
      <c r="I151" s="219">
        <f>'Green Ridge'!E90</f>
        <v>7448</v>
      </c>
    </row>
    <row r="152" spans="1:13" ht="15" x14ac:dyDescent="0.25">
      <c r="A152" s="194" t="str">
        <f t="shared" si="10"/>
        <v>Glendale</v>
      </c>
      <c r="B152" s="194"/>
      <c r="C152" s="219">
        <f>Glendale!D91</f>
        <v>36000</v>
      </c>
      <c r="D152" s="219"/>
      <c r="E152" s="219">
        <f>Glendale!I91</f>
        <v>36000</v>
      </c>
      <c r="F152" s="219">
        <f>Glendale!J91</f>
        <v>3000</v>
      </c>
      <c r="G152" s="219"/>
      <c r="H152" s="219">
        <f>Glendale!F91</f>
        <v>3000</v>
      </c>
      <c r="I152" s="219">
        <f>Glendale!E91</f>
        <v>27000</v>
      </c>
    </row>
    <row r="153" spans="1:13" ht="15" x14ac:dyDescent="0.25">
      <c r="A153" s="195" t="str">
        <f t="shared" si="10"/>
        <v>Viking Square</v>
      </c>
      <c r="B153" s="194"/>
      <c r="C153" s="219">
        <f>'Viking Sq'!D88</f>
        <v>58500</v>
      </c>
      <c r="D153" s="219"/>
      <c r="E153" s="219">
        <f>'Viking Sq'!I88</f>
        <v>58500</v>
      </c>
      <c r="F153" s="219">
        <f>'Viking Sq'!J88</f>
        <v>4875</v>
      </c>
      <c r="G153" s="219"/>
      <c r="H153" s="219">
        <f>'Viking Sq'!F88</f>
        <v>1375</v>
      </c>
      <c r="I153" s="219">
        <f>'Viking Sq'!E88</f>
        <v>12375</v>
      </c>
    </row>
    <row r="154" spans="1:13" ht="15" x14ac:dyDescent="0.25">
      <c r="A154" s="195" t="str">
        <f t="shared" si="10"/>
        <v>Canyon Gate</v>
      </c>
      <c r="B154" s="194"/>
      <c r="C154" s="219">
        <f>'Canyon Gate'!D89</f>
        <v>13020</v>
      </c>
      <c r="D154" s="219"/>
      <c r="E154" s="219">
        <f>'Canyon Gate'!I89</f>
        <v>13020</v>
      </c>
      <c r="F154" s="219">
        <f>'Canyon Gate'!J89</f>
        <v>1085</v>
      </c>
      <c r="G154" s="219"/>
      <c r="H154" s="219">
        <f>'Canyon Gate'!F89</f>
        <v>1085</v>
      </c>
      <c r="I154" s="219">
        <f>'Canyon Gate'!E89</f>
        <v>9765</v>
      </c>
    </row>
    <row r="155" spans="1:13" ht="15" x14ac:dyDescent="0.25">
      <c r="A155" s="195" t="str">
        <f t="shared" si="10"/>
        <v>Lewis Court</v>
      </c>
      <c r="B155" s="194"/>
      <c r="C155" s="219">
        <f>'Lewis Ct'!D92</f>
        <v>14070</v>
      </c>
      <c r="D155" s="219"/>
      <c r="E155" s="219">
        <f>'Lewis Ct'!I92</f>
        <v>14490</v>
      </c>
      <c r="F155" s="219">
        <f>'Lewis Ct'!J92</f>
        <v>1207.5</v>
      </c>
      <c r="G155" s="219"/>
      <c r="H155" s="219">
        <f>'Lewis Ct'!F92</f>
        <v>1173</v>
      </c>
      <c r="I155" s="219">
        <f>'Lewis Ct'!E92</f>
        <v>10557</v>
      </c>
    </row>
    <row r="156" spans="1:13" ht="15" x14ac:dyDescent="0.25">
      <c r="A156" s="195" t="str">
        <f t="shared" si="10"/>
        <v>Harlan St</v>
      </c>
      <c r="B156" s="194"/>
      <c r="C156" s="219">
        <f>Harlan!D85</f>
        <v>1800</v>
      </c>
      <c r="D156" s="219"/>
      <c r="E156" s="219">
        <f>Harlan!I85</f>
        <v>1800</v>
      </c>
      <c r="F156" s="219">
        <f>Harlan!J85</f>
        <v>150</v>
      </c>
      <c r="G156" s="219"/>
      <c r="H156" s="219">
        <f>Harlan!F85</f>
        <v>166.66666666666666</v>
      </c>
      <c r="I156" s="219">
        <f>Harlan!E85</f>
        <v>1500</v>
      </c>
    </row>
    <row r="157" spans="1:13" ht="15" x14ac:dyDescent="0.25">
      <c r="A157" s="195" t="str">
        <f t="shared" si="10"/>
        <v>JCHA</v>
      </c>
      <c r="B157" s="194"/>
      <c r="C157" s="222">
        <v>0</v>
      </c>
      <c r="D157" s="222"/>
      <c r="E157" s="222">
        <v>0</v>
      </c>
      <c r="F157" s="222">
        <v>0</v>
      </c>
      <c r="G157" s="222"/>
      <c r="H157" s="222">
        <v>0</v>
      </c>
      <c r="I157" s="222">
        <v>0</v>
      </c>
    </row>
    <row r="158" spans="1:13" ht="15" x14ac:dyDescent="0.25">
      <c r="A158" s="211"/>
      <c r="B158" s="194"/>
      <c r="C158" s="219"/>
      <c r="D158" s="219"/>
      <c r="E158" s="219"/>
      <c r="F158" s="219"/>
      <c r="G158" s="219"/>
      <c r="H158" s="219"/>
      <c r="I158" s="219"/>
      <c r="M158" s="179" t="e">
        <f>#REF!*5%</f>
        <v>#REF!</v>
      </c>
    </row>
    <row r="159" spans="1:13" ht="15.75" thickBot="1" x14ac:dyDescent="0.3">
      <c r="A159" s="193" t="s">
        <v>490</v>
      </c>
      <c r="B159" s="194"/>
      <c r="C159" s="218">
        <f t="shared" ref="C159" si="11">SUM(C144:C158)</f>
        <v>225720</v>
      </c>
      <c r="D159" s="218"/>
      <c r="E159" s="218">
        <f t="shared" ref="E159:I159" si="12">SUM(E144:E158)</f>
        <v>232440</v>
      </c>
      <c r="F159" s="218">
        <f t="shared" si="12"/>
        <v>19370</v>
      </c>
      <c r="G159" s="218"/>
      <c r="H159" s="218">
        <f t="shared" si="12"/>
        <v>15339.666666666666</v>
      </c>
      <c r="I159" s="218">
        <f t="shared" si="12"/>
        <v>138057</v>
      </c>
      <c r="J159" s="178"/>
      <c r="M159" s="179" t="e">
        <f>#REF!*5%</f>
        <v>#REF!</v>
      </c>
    </row>
    <row r="160" spans="1:13" ht="15.75" thickTop="1" x14ac:dyDescent="0.25">
      <c r="A160" s="194"/>
      <c r="B160" s="194"/>
      <c r="C160" s="219"/>
      <c r="D160" s="219"/>
      <c r="E160" s="219"/>
      <c r="F160" s="219"/>
      <c r="G160" s="219"/>
      <c r="H160" s="219" t="s">
        <v>464</v>
      </c>
      <c r="I160" s="219"/>
      <c r="M160" s="179" t="e">
        <f>#REF!*5%</f>
        <v>#REF!</v>
      </c>
    </row>
    <row r="161" spans="1:13" ht="15" x14ac:dyDescent="0.25">
      <c r="A161" s="193" t="s">
        <v>453</v>
      </c>
      <c r="B161" s="194"/>
      <c r="C161" s="219"/>
      <c r="D161" s="219"/>
      <c r="E161" s="219"/>
      <c r="F161" s="219"/>
      <c r="G161" s="219"/>
      <c r="H161" s="219" t="s">
        <v>464</v>
      </c>
      <c r="I161" s="219"/>
      <c r="M161" s="179" t="e">
        <f>#REF!*5%</f>
        <v>#REF!</v>
      </c>
    </row>
    <row r="162" spans="1:13" ht="15" x14ac:dyDescent="0.25">
      <c r="A162" s="194" t="s">
        <v>466</v>
      </c>
      <c r="B162" s="194"/>
      <c r="C162" s="219">
        <f>'Kendall Apts'!D80</f>
        <v>39800</v>
      </c>
      <c r="D162" s="219"/>
      <c r="E162" s="219">
        <f>'Kendall Apts'!I80</f>
        <v>9000</v>
      </c>
      <c r="F162" s="219">
        <f>'Kendall Apts'!J80</f>
        <v>750</v>
      </c>
      <c r="G162" s="219"/>
      <c r="H162" s="219">
        <f>'Kendall Apts'!G80</f>
        <v>0</v>
      </c>
      <c r="I162" s="219">
        <f>'Kendall Apts'!E80</f>
        <v>1525</v>
      </c>
      <c r="K162" s="184"/>
      <c r="M162" s="179" t="e">
        <f>#REF!*5%</f>
        <v>#REF!</v>
      </c>
    </row>
    <row r="163" spans="1:13" ht="15" x14ac:dyDescent="0.25">
      <c r="A163" s="194" t="str">
        <f t="shared" ref="A163:A175" si="13">A145</f>
        <v>Mountain View</v>
      </c>
      <c r="B163" s="194"/>
      <c r="C163" s="219">
        <f>'Mtn View'!D85</f>
        <v>12000</v>
      </c>
      <c r="D163" s="219"/>
      <c r="E163" s="219">
        <f>'Mtn View'!I85</f>
        <v>1800</v>
      </c>
      <c r="F163" s="219">
        <f>'Mtn View'!J85</f>
        <v>150</v>
      </c>
      <c r="G163" s="219"/>
      <c r="H163" s="219">
        <f>'Mtn View'!F85</f>
        <v>8502.6666666666661</v>
      </c>
      <c r="I163" s="219">
        <f>'Mtn View'!E85</f>
        <v>6377</v>
      </c>
      <c r="K163" s="192"/>
    </row>
    <row r="164" spans="1:13" ht="15" x14ac:dyDescent="0.25">
      <c r="A164" s="194" t="str">
        <f t="shared" si="13"/>
        <v>Section 8</v>
      </c>
      <c r="B164" s="194"/>
      <c r="C164" s="219">
        <f>Vouchers!D58</f>
        <v>30000</v>
      </c>
      <c r="D164" s="219"/>
      <c r="E164" s="219">
        <f>Vouchers!I58</f>
        <v>37200</v>
      </c>
      <c r="F164" s="219">
        <f>Vouchers!J58</f>
        <v>3100</v>
      </c>
      <c r="G164" s="219"/>
      <c r="H164" s="219">
        <f>Vouchers!F58</f>
        <v>321.22222222222223</v>
      </c>
      <c r="I164" s="219">
        <f>Vouchers!E58</f>
        <v>2891</v>
      </c>
      <c r="K164" s="184"/>
    </row>
    <row r="165" spans="1:13" ht="15" x14ac:dyDescent="0.25">
      <c r="A165" s="195" t="str">
        <f t="shared" si="13"/>
        <v>Rehab</v>
      </c>
      <c r="B165" s="194"/>
      <c r="C165" s="219">
        <f>Rehab!D68</f>
        <v>0</v>
      </c>
      <c r="D165" s="219"/>
      <c r="E165" s="219">
        <f>Rehab!I68</f>
        <v>1500</v>
      </c>
      <c r="F165" s="219">
        <f>Rehab!J68</f>
        <v>125</v>
      </c>
      <c r="G165" s="219"/>
      <c r="H165" s="219">
        <f>Rehab!F68</f>
        <v>0</v>
      </c>
      <c r="I165" s="219">
        <f>Rehab!E68</f>
        <v>0</v>
      </c>
      <c r="K165" s="184"/>
    </row>
    <row r="166" spans="1:13" ht="15" x14ac:dyDescent="0.25">
      <c r="A166" s="195" t="str">
        <f t="shared" si="13"/>
        <v>Caesar Square</v>
      </c>
      <c r="B166" s="194"/>
      <c r="C166" s="219">
        <f>'Caesar Sq'!D101</f>
        <v>105000</v>
      </c>
      <c r="D166" s="219"/>
      <c r="E166" s="219">
        <f>'Caesar Sq'!I101</f>
        <v>155000</v>
      </c>
      <c r="F166" s="219">
        <f>'Caesar Sq'!J101</f>
        <v>12916.666666666666</v>
      </c>
      <c r="G166" s="219"/>
      <c r="H166" s="219">
        <f>'Caesar Sq'!F101</f>
        <v>1666.6666666666667</v>
      </c>
      <c r="I166" s="219">
        <f>'Caesar Sq'!E101</f>
        <v>15000</v>
      </c>
      <c r="K166" s="184"/>
    </row>
    <row r="167" spans="1:13" ht="15" x14ac:dyDescent="0.25">
      <c r="A167" s="195" t="str">
        <f t="shared" si="13"/>
        <v>Aspen Ridge</v>
      </c>
      <c r="B167" s="194"/>
      <c r="C167" s="219">
        <f>'Aspen Ridge'!D96</f>
        <v>66000</v>
      </c>
      <c r="D167" s="219"/>
      <c r="E167" s="219">
        <f>'Aspen Ridge'!I96</f>
        <v>178000</v>
      </c>
      <c r="F167" s="219">
        <f>'Aspen Ridge'!J96</f>
        <v>14833.333333333332</v>
      </c>
      <c r="G167" s="219"/>
      <c r="H167" s="219">
        <f>'Aspen Ridge'!F96</f>
        <v>336.11111111111109</v>
      </c>
      <c r="I167" s="219">
        <f>'Aspen Ridge'!E96</f>
        <v>3025</v>
      </c>
      <c r="K167" s="184"/>
    </row>
    <row r="168" spans="1:13" ht="15" x14ac:dyDescent="0.25">
      <c r="A168" s="194" t="str">
        <f t="shared" si="13"/>
        <v>Redwood</v>
      </c>
      <c r="B168" s="194"/>
      <c r="C168" s="219">
        <f>'Redwood Village'!D97</f>
        <v>33000</v>
      </c>
      <c r="D168" s="219"/>
      <c r="E168" s="219">
        <f>'Redwood Village'!I97</f>
        <v>68000</v>
      </c>
      <c r="F168" s="219">
        <f>'Redwood Village'!J97</f>
        <v>8166.6666666666679</v>
      </c>
      <c r="G168" s="219"/>
      <c r="H168" s="219">
        <f>'Redwood Village'!F97</f>
        <v>172.22222222222223</v>
      </c>
      <c r="I168" s="219">
        <f>'Redwood Village'!E97</f>
        <v>1550</v>
      </c>
      <c r="K168" s="184"/>
    </row>
    <row r="169" spans="1:13" ht="15" x14ac:dyDescent="0.25">
      <c r="A169" s="194" t="str">
        <f t="shared" si="13"/>
        <v>Green Ridge</v>
      </c>
      <c r="B169" s="194"/>
      <c r="C169" s="219">
        <f>'Green Ridge'!D102</f>
        <v>0</v>
      </c>
      <c r="D169" s="219"/>
      <c r="E169" s="219">
        <f>'Green Ridge'!I102</f>
        <v>10000</v>
      </c>
      <c r="F169" s="219">
        <f>'Green Ridge'!J102</f>
        <v>833.33333333333337</v>
      </c>
      <c r="G169" s="219"/>
      <c r="H169" s="219">
        <f>'Green Ridge'!F102</f>
        <v>0</v>
      </c>
      <c r="I169" s="219">
        <f>'Green Ridge'!E102</f>
        <v>0</v>
      </c>
      <c r="K169" s="184"/>
      <c r="M169" s="179" t="e">
        <f>#REF!*5%</f>
        <v>#REF!</v>
      </c>
    </row>
    <row r="170" spans="1:13" ht="15" x14ac:dyDescent="0.25">
      <c r="A170" s="194" t="str">
        <f t="shared" si="13"/>
        <v>Glendale</v>
      </c>
      <c r="B170" s="194"/>
      <c r="C170" s="219">
        <f>Glendale!D100</f>
        <v>24000</v>
      </c>
      <c r="D170" s="219"/>
      <c r="E170" s="219">
        <f>Glendale!I100</f>
        <v>39000</v>
      </c>
      <c r="F170" s="219">
        <f>Glendale!J100</f>
        <v>3250</v>
      </c>
      <c r="G170" s="219"/>
      <c r="H170" s="219">
        <f>Glendale!F100</f>
        <v>6712.333333333333</v>
      </c>
      <c r="I170" s="219">
        <f>Glendale!E100</f>
        <v>60411</v>
      </c>
      <c r="K170" s="184"/>
      <c r="M170" s="179" t="e">
        <f>#REF!*5%</f>
        <v>#REF!</v>
      </c>
    </row>
    <row r="171" spans="1:13" ht="15" x14ac:dyDescent="0.25">
      <c r="A171" s="195" t="str">
        <f t="shared" si="13"/>
        <v>Viking Square</v>
      </c>
      <c r="B171" s="194"/>
      <c r="C171" s="219">
        <f>'Viking Sq'!D97</f>
        <v>0</v>
      </c>
      <c r="D171" s="219"/>
      <c r="E171" s="219">
        <f>'Viking Sq'!I97</f>
        <v>0</v>
      </c>
      <c r="F171" s="219">
        <f>'Viking Sq'!J97</f>
        <v>0</v>
      </c>
      <c r="G171" s="219"/>
      <c r="H171" s="219">
        <f>'Viking Sq'!F97</f>
        <v>0</v>
      </c>
      <c r="I171" s="219">
        <f>'Viking Sq'!E97</f>
        <v>0</v>
      </c>
      <c r="K171" s="184"/>
      <c r="M171" s="179" t="e">
        <f>#REF!*5%</f>
        <v>#REF!</v>
      </c>
    </row>
    <row r="172" spans="1:13" ht="15" x14ac:dyDescent="0.25">
      <c r="A172" s="195" t="str">
        <f t="shared" si="13"/>
        <v>Canyon Gate</v>
      </c>
      <c r="B172" s="194"/>
      <c r="C172" s="219">
        <f>'Canyon Gate'!D102</f>
        <v>21500</v>
      </c>
      <c r="D172" s="219"/>
      <c r="E172" s="219">
        <f>'Canyon Gate'!I102</f>
        <v>43100</v>
      </c>
      <c r="F172" s="219">
        <f>'Canyon Gate'!J102</f>
        <v>3591.6666666666665</v>
      </c>
      <c r="G172" s="219"/>
      <c r="H172" s="219">
        <f>'Canyon Gate'!F102</f>
        <v>504.66666666666663</v>
      </c>
      <c r="I172" s="219">
        <f>'Canyon Gate'!E102</f>
        <v>4542</v>
      </c>
      <c r="K172" s="184"/>
    </row>
    <row r="173" spans="1:13" ht="15" x14ac:dyDescent="0.25">
      <c r="A173" s="195" t="str">
        <f t="shared" si="13"/>
        <v>Lewis Court</v>
      </c>
      <c r="B173" s="194"/>
      <c r="C173" s="219">
        <f>'Lewis Ct'!D105</f>
        <v>10000</v>
      </c>
      <c r="D173" s="219"/>
      <c r="E173" s="219">
        <f>'Lewis Ct'!I105</f>
        <v>14200</v>
      </c>
      <c r="F173" s="219">
        <f>'Lewis Ct'!J105</f>
        <v>1183.3333333333335</v>
      </c>
      <c r="G173" s="219"/>
      <c r="H173" s="219">
        <f>'Lewis Ct'!F105</f>
        <v>0</v>
      </c>
      <c r="I173" s="219">
        <f>'Lewis Ct'!E105</f>
        <v>0</v>
      </c>
      <c r="K173" s="184"/>
    </row>
    <row r="174" spans="1:13" ht="15" x14ac:dyDescent="0.25">
      <c r="A174" s="195" t="str">
        <f t="shared" si="13"/>
        <v>Harlan St</v>
      </c>
      <c r="B174" s="194"/>
      <c r="C174" s="219">
        <f>Harlan!D98</f>
        <v>2500</v>
      </c>
      <c r="D174" s="219"/>
      <c r="E174" s="219">
        <f>Harlan!I98</f>
        <v>5500</v>
      </c>
      <c r="F174" s="219">
        <f>Harlan!J98</f>
        <v>458.33333333333331</v>
      </c>
      <c r="G174" s="219"/>
      <c r="H174" s="219">
        <f>Harlan!F98</f>
        <v>0</v>
      </c>
      <c r="I174" s="219">
        <f>Harlan!E98</f>
        <v>0</v>
      </c>
      <c r="K174" s="184"/>
    </row>
    <row r="175" spans="1:13" ht="15" x14ac:dyDescent="0.25">
      <c r="A175" s="195" t="str">
        <f t="shared" si="13"/>
        <v>JCHA</v>
      </c>
      <c r="B175" s="194"/>
      <c r="C175" s="222">
        <f>'JCHA '!D97</f>
        <v>27000</v>
      </c>
      <c r="D175" s="222"/>
      <c r="E175" s="222">
        <f>'JCHA '!I97</f>
        <v>14300</v>
      </c>
      <c r="F175" s="222">
        <f>'JCHA '!J97</f>
        <v>1191.6666666666667</v>
      </c>
      <c r="G175" s="222"/>
      <c r="H175" s="222">
        <f>'JCHA '!F97</f>
        <v>288.88888888888891</v>
      </c>
      <c r="I175" s="222">
        <f>'JCHA '!E97</f>
        <v>2600</v>
      </c>
      <c r="K175" s="184"/>
    </row>
    <row r="176" spans="1:13" ht="15" x14ac:dyDescent="0.25">
      <c r="A176" s="211"/>
      <c r="B176" s="194"/>
      <c r="C176" s="219"/>
      <c r="D176" s="219"/>
      <c r="E176" s="219"/>
      <c r="F176" s="219"/>
      <c r="G176" s="219"/>
      <c r="H176" s="219"/>
      <c r="I176" s="219"/>
      <c r="K176" s="184"/>
    </row>
    <row r="177" spans="1:10" ht="15.75" thickBot="1" x14ac:dyDescent="0.3">
      <c r="A177" s="193" t="s">
        <v>491</v>
      </c>
      <c r="B177" s="194"/>
      <c r="C177" s="218">
        <f>SUM(C162:C176)</f>
        <v>370800</v>
      </c>
      <c r="D177" s="218"/>
      <c r="E177" s="218">
        <f>SUM(E162:E176)</f>
        <v>576600</v>
      </c>
      <c r="F177" s="218">
        <f>SUM(F162:F176)</f>
        <v>50550</v>
      </c>
      <c r="G177" s="218"/>
      <c r="H177" s="218">
        <f>SUM(H162:H176)</f>
        <v>18504.777777777781</v>
      </c>
      <c r="I177" s="218">
        <f>SUM(I162:I176)</f>
        <v>97921</v>
      </c>
      <c r="J177" s="178"/>
    </row>
    <row r="178" spans="1:10" ht="15.75" thickTop="1" x14ac:dyDescent="0.25">
      <c r="A178" s="193"/>
      <c r="B178" s="194"/>
      <c r="C178" s="223"/>
      <c r="D178" s="223"/>
      <c r="E178" s="223"/>
      <c r="F178" s="223"/>
      <c r="G178" s="223"/>
      <c r="H178" s="223"/>
      <c r="I178" s="223"/>
      <c r="J178" s="178"/>
    </row>
    <row r="179" spans="1:10" ht="15" x14ac:dyDescent="0.25">
      <c r="A179" s="193" t="s">
        <v>492</v>
      </c>
      <c r="B179" s="194"/>
      <c r="C179" s="219"/>
      <c r="D179" s="219"/>
      <c r="E179" s="219"/>
      <c r="F179" s="219"/>
      <c r="G179" s="219"/>
      <c r="H179" s="219"/>
      <c r="I179" s="219"/>
      <c r="J179" s="185"/>
    </row>
    <row r="180" spans="1:10" ht="15" x14ac:dyDescent="0.25">
      <c r="A180" s="194" t="str">
        <f>A164</f>
        <v>Section 8</v>
      </c>
      <c r="B180" s="194"/>
      <c r="C180" s="219">
        <f>Vouchers!D53</f>
        <v>10343890</v>
      </c>
      <c r="D180" s="219"/>
      <c r="E180" s="219">
        <f>Vouchers!I53</f>
        <v>11332530</v>
      </c>
      <c r="F180" s="219">
        <f>Vouchers!J53</f>
        <v>944377.5</v>
      </c>
      <c r="G180" s="219"/>
      <c r="H180" s="219">
        <f>Vouchers!F53</f>
        <v>933901</v>
      </c>
      <c r="I180" s="219">
        <f>Vouchers!E53</f>
        <v>8405109</v>
      </c>
      <c r="J180" s="185"/>
    </row>
    <row r="181" spans="1:10" ht="15" x14ac:dyDescent="0.25">
      <c r="A181" s="194"/>
      <c r="B181" s="194"/>
      <c r="C181" s="222"/>
      <c r="D181" s="222"/>
      <c r="E181" s="222"/>
      <c r="F181" s="222"/>
      <c r="G181" s="222"/>
      <c r="H181" s="222"/>
      <c r="I181" s="222"/>
      <c r="J181" s="185"/>
    </row>
    <row r="182" spans="1:10" ht="15" x14ac:dyDescent="0.25">
      <c r="A182" s="193" t="s">
        <v>493</v>
      </c>
      <c r="B182" s="194"/>
      <c r="C182" s="223">
        <f>SUM(C180:C181)</f>
        <v>10343890</v>
      </c>
      <c r="D182" s="223"/>
      <c r="E182" s="223">
        <f>SUM(E180:E181)</f>
        <v>11332530</v>
      </c>
      <c r="F182" s="223">
        <f>SUM(F180:F181)</f>
        <v>944377.5</v>
      </c>
      <c r="G182" s="223"/>
      <c r="H182" s="223">
        <f>SUM(H180:H181)</f>
        <v>933901</v>
      </c>
      <c r="I182" s="223">
        <f>SUM(I180:I181)</f>
        <v>8405109</v>
      </c>
      <c r="J182" s="178"/>
    </row>
    <row r="183" spans="1:10" ht="15" x14ac:dyDescent="0.25">
      <c r="A183" s="193"/>
      <c r="B183" s="194"/>
      <c r="C183" s="223"/>
      <c r="D183" s="223"/>
      <c r="E183" s="223"/>
      <c r="F183" s="223"/>
      <c r="G183" s="223"/>
      <c r="H183" s="223"/>
      <c r="I183" s="223"/>
      <c r="J183" s="178"/>
    </row>
    <row r="184" spans="1:10" ht="15" x14ac:dyDescent="0.25">
      <c r="A184" s="194"/>
      <c r="B184" s="194"/>
      <c r="C184" s="219"/>
      <c r="D184" s="219"/>
      <c r="E184" s="219"/>
      <c r="F184" s="219"/>
      <c r="G184" s="219"/>
      <c r="H184" s="219" t="s">
        <v>464</v>
      </c>
      <c r="I184" s="219"/>
    </row>
    <row r="185" spans="1:10" ht="15" x14ac:dyDescent="0.25">
      <c r="A185" s="193" t="s">
        <v>494</v>
      </c>
      <c r="B185" s="194"/>
      <c r="C185" s="226">
        <f>SUM(C177+C159+C141+C122+C104+C85+C67+C182)</f>
        <v>19157379.451133333</v>
      </c>
      <c r="D185" s="226"/>
      <c r="E185" s="226">
        <f>SUM(E177+E159+E141+E122+E104+E85+E67+E182)</f>
        <v>20773545.135866664</v>
      </c>
      <c r="F185" s="226">
        <f>SUM(F177+F159+F141+F122+F104+F85+F67+F182)</f>
        <v>1728601.2685423612</v>
      </c>
      <c r="G185" s="226"/>
      <c r="H185" s="226">
        <f>SUM(H177+H159+H141+H122+H104+H85+H67+H182)</f>
        <v>1709945.6666666667</v>
      </c>
      <c r="I185" s="226">
        <f>SUM(I177+I159+I141+I122+I104+I85+I67+I182)</f>
        <v>15320889</v>
      </c>
      <c r="J185" s="178"/>
    </row>
    <row r="186" spans="1:10" ht="15" x14ac:dyDescent="0.25">
      <c r="A186" s="194"/>
      <c r="B186" s="194"/>
      <c r="C186" s="219"/>
      <c r="D186" s="223"/>
      <c r="E186" s="219"/>
      <c r="F186" s="223"/>
      <c r="G186" s="223"/>
      <c r="H186" s="219" t="s">
        <v>464</v>
      </c>
      <c r="I186" s="223"/>
      <c r="J186" s="178"/>
    </row>
    <row r="187" spans="1:10" ht="15" x14ac:dyDescent="0.25">
      <c r="A187" s="193" t="s">
        <v>581</v>
      </c>
      <c r="B187" s="194"/>
      <c r="C187" s="223">
        <f>SUM(C27-C185)</f>
        <v>-703544.45113333315</v>
      </c>
      <c r="D187" s="223"/>
      <c r="E187" s="223">
        <f>SUM(E27-+E185)</f>
        <v>-651255.8358666636</v>
      </c>
      <c r="F187" s="223">
        <f>SUM(F27-F185)</f>
        <v>-51743.826875694795</v>
      </c>
      <c r="G187" s="223"/>
      <c r="H187" s="223">
        <f>SUM(H27-H185)</f>
        <v>-57929.333333333721</v>
      </c>
      <c r="I187" s="223">
        <f>SUM(I27-I185)</f>
        <v>-452742</v>
      </c>
      <c r="J187" s="178"/>
    </row>
    <row r="188" spans="1:10" ht="15" x14ac:dyDescent="0.25">
      <c r="A188" s="194"/>
      <c r="B188" s="194"/>
      <c r="C188" s="219"/>
      <c r="D188" s="219"/>
      <c r="E188" s="219"/>
      <c r="F188" s="219"/>
      <c r="G188" s="219"/>
      <c r="H188" s="219"/>
      <c r="I188" s="219"/>
    </row>
    <row r="189" spans="1:10" ht="15" x14ac:dyDescent="0.25">
      <c r="A189" s="194"/>
      <c r="B189" s="194"/>
      <c r="C189" s="219"/>
      <c r="D189" s="219"/>
      <c r="E189" s="219"/>
      <c r="F189" s="219"/>
      <c r="G189" s="219"/>
      <c r="H189" s="219"/>
      <c r="I189" s="219"/>
    </row>
    <row r="190" spans="1:10" ht="15" x14ac:dyDescent="0.25">
      <c r="A190" s="193" t="s">
        <v>495</v>
      </c>
      <c r="B190" s="193"/>
      <c r="C190" s="226">
        <f>'Kendall Apts'!D64+'Mtn View'!D64+Vouchers!D48+Rehab!D61+'Caesar Sq'!D81+'Aspen Ridge'!D75+'Redwood Village'!D76+'Green Ridge'!D80+Glendale!D80+'Viking Sq'!D78+'Canyon Gate'!D79+'Lewis Ct'!D81+Harlan!D75+'JCHA '!D88</f>
        <v>1196940</v>
      </c>
      <c r="D190" s="226"/>
      <c r="E190" s="226">
        <f>'Kendall Apts'!I64+'Mtn View'!I64+Vouchers!I48+Rehab!I61+'Caesar Sq'!I81+'Aspen Ridge'!I75+'Redwood Village'!I76+'Green Ridge'!I80+Glendale!I80+'Viking Sq'!I78+'Canyon Gate'!I79+'Lewis Ct'!I81+Harlan!I75+'JCHA '!I88</f>
        <v>1192495</v>
      </c>
      <c r="F190" s="226">
        <f>'Kendall Apts'!J64+'Mtn View'!J64+Vouchers!J48+Rehab!J61+'Caesar Sq'!J81+'Aspen Ridge'!J75+'Redwood Village'!J76+'Green Ridge'!J80+Glendale!J80+'Viking Sq'!J78+'Canyon Gate'!J79+'Lewis Ct'!J81+Harlan!J75+'JCHA '!J88</f>
        <v>99374.583333333328</v>
      </c>
      <c r="G190" s="226"/>
      <c r="H190" s="226">
        <f>'Kendall Apts'!G64+'Mtn View'!F64+Vouchers!F48+Rehab!F61+'Caesar Sq'!F81+'Aspen Ridge'!F75+'Redwood Village'!F76+'Green Ridge'!F80+Glendale!F80+'Viking Sq'!F78+'Canyon Gate'!F79+'Lewis Ct'!F81+Harlan!F75+'JCHA '!F88</f>
        <v>99728.444444444438</v>
      </c>
      <c r="I190" s="226">
        <f>'Kendall Apts'!E64+'Mtn View'!E64+Vouchers!E48+Rehab!E61+'Caesar Sq'!E81+'Aspen Ridge'!E75+'Redwood Village'!E76+'Green Ridge'!E80+Glendale!E80+'Viking Sq'!E78+'Canyon Gate'!E79+'Lewis Ct'!E81+Harlan!E75+'JCHA '!E88</f>
        <v>897556</v>
      </c>
    </row>
    <row r="191" spans="1:10" ht="15" x14ac:dyDescent="0.25">
      <c r="A191" s="194"/>
      <c r="B191" s="194"/>
      <c r="C191" s="224"/>
      <c r="D191" s="225"/>
      <c r="E191" s="224"/>
      <c r="F191" s="225"/>
      <c r="G191" s="225"/>
      <c r="H191" s="225"/>
      <c r="I191" s="225"/>
    </row>
    <row r="192" spans="1:10" ht="15.75" thickBot="1" x14ac:dyDescent="0.3">
      <c r="A192" s="193" t="s">
        <v>550</v>
      </c>
      <c r="B192" s="193"/>
      <c r="C192" s="227">
        <f>SUM(C187:C191)</f>
        <v>493395.54886666685</v>
      </c>
      <c r="D192" s="227"/>
      <c r="E192" s="227">
        <f>SUM(E187:E191)</f>
        <v>541239.1641333364</v>
      </c>
      <c r="F192" s="227">
        <f>SUM(F187:F191)</f>
        <v>47630.756457638534</v>
      </c>
      <c r="G192" s="227"/>
      <c r="H192" s="227">
        <f>SUM(H187:H191)</f>
        <v>41799.111111110717</v>
      </c>
      <c r="I192" s="227">
        <f>SUM(I187:I191)</f>
        <v>444814</v>
      </c>
    </row>
    <row r="193" spans="1:9" ht="15" x14ac:dyDescent="0.25">
      <c r="A193" s="194"/>
      <c r="B193" s="194"/>
      <c r="C193" s="194"/>
      <c r="D193" s="194"/>
      <c r="E193" s="200"/>
      <c r="F193" s="194"/>
      <c r="G193" s="194"/>
      <c r="H193" s="194"/>
      <c r="I193" s="194"/>
    </row>
    <row r="194" spans="1:9" x14ac:dyDescent="0.2">
      <c r="E194" s="180"/>
    </row>
    <row r="196" spans="1:9" x14ac:dyDescent="0.2">
      <c r="A196" s="181"/>
      <c r="I196" s="181"/>
    </row>
  </sheetData>
  <customSheetViews>
    <customSheetView guid="{D54A66AC-88E3-46FB-AFE3-2E559F565FEB}" topLeftCell="A4">
      <pane xSplit="1" ySplit="8" topLeftCell="B174" activePane="bottomRight" state="frozen"/>
      <selection pane="bottomRight" activeCell="E25" sqref="E25"/>
      <rowBreaks count="3" manualBreakCount="3">
        <brk id="48" max="9" man="1"/>
        <brk id="104" max="9" man="1"/>
        <brk id="160" max="9" man="1"/>
      </rowBreaks>
      <pageMargins left="0.75" right="0.75" top="1" bottom="1" header="0.5" footer="0.5"/>
      <pageSetup scale="65" fitToHeight="4" orientation="portrait" r:id="rId1"/>
      <headerFooter alignWithMargins="0"/>
    </customSheetView>
  </customSheetViews>
  <pageMargins left="0.75" right="0.75" top="1" bottom="1" header="0.5" footer="0.5"/>
  <pageSetup scale="65" fitToHeight="4" orientation="portrait" r:id="rId2"/>
  <headerFooter alignWithMargins="0"/>
  <rowBreaks count="3" manualBreakCount="3">
    <brk id="48" max="9" man="1"/>
    <brk id="104" max="9" man="1"/>
    <brk id="16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7"/>
  <sheetViews>
    <sheetView zoomScale="80" zoomScaleNormal="80" workbookViewId="0">
      <pane xSplit="3" ySplit="4" topLeftCell="D12" activePane="bottomRight" state="frozen"/>
      <selection activeCell="A180" sqref="A180"/>
      <selection pane="topRight" activeCell="A180" sqref="A180"/>
      <selection pane="bottomLeft" activeCell="A180" sqref="A180"/>
      <selection pane="bottomRight" activeCell="L1" sqref="L1:P1048576"/>
    </sheetView>
  </sheetViews>
  <sheetFormatPr defaultRowHeight="15" x14ac:dyDescent="0.25"/>
  <cols>
    <col min="1" max="1" width="57.140625" bestFit="1" customWidth="1"/>
    <col min="2" max="2" width="9.140625" hidden="1" customWidth="1"/>
    <col min="3" max="3" width="12" hidden="1" customWidth="1"/>
    <col min="4" max="4" width="15.42578125" bestFit="1" customWidth="1"/>
    <col min="5" max="5" width="14.140625" bestFit="1" customWidth="1"/>
    <col min="6" max="6" width="11.85546875" customWidth="1"/>
    <col min="7" max="7" width="3" customWidth="1"/>
    <col min="8" max="8" width="0" hidden="1" customWidth="1"/>
    <col min="9" max="9" width="23.5703125" customWidth="1"/>
    <col min="10" max="10" width="12.85546875" bestFit="1" customWidth="1"/>
    <col min="11" max="11" width="54.28515625" customWidth="1"/>
    <col min="12" max="16" width="0" hidden="1" customWidth="1"/>
  </cols>
  <sheetData>
    <row r="1" spans="1:17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'Caesar Sq'!I1</f>
        <v>Projected Annual Budget 2017</v>
      </c>
      <c r="J1" s="125"/>
      <c r="K1" s="108"/>
    </row>
    <row r="2" spans="1:17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1" t="s">
        <v>594</v>
      </c>
    </row>
    <row r="3" spans="1:17" ht="21" thickBot="1" x14ac:dyDescent="0.35">
      <c r="A3" s="99" t="s">
        <v>662</v>
      </c>
      <c r="B3" s="104"/>
      <c r="C3" s="104"/>
      <c r="D3" s="109"/>
      <c r="E3" s="104"/>
      <c r="F3" s="104"/>
      <c r="G3" s="104"/>
      <c r="H3" s="41"/>
      <c r="I3" s="111"/>
      <c r="J3" s="95"/>
      <c r="K3" s="101" t="s">
        <v>642</v>
      </c>
    </row>
    <row r="4" spans="1:17" ht="45" x14ac:dyDescent="0.25">
      <c r="A4" s="39" t="s">
        <v>71</v>
      </c>
      <c r="B4" s="39" t="s">
        <v>72</v>
      </c>
      <c r="C4" s="39" t="s">
        <v>73</v>
      </c>
      <c r="D4" s="40" t="str">
        <f>'Caesar Sq'!D4</f>
        <v>2016 Annual Budget</v>
      </c>
      <c r="E4" s="40" t="str">
        <f>'Caesar Sq'!E4</f>
        <v>YTD Actual FY 2016 @ 9/30/16</v>
      </c>
      <c r="F4" s="40" t="str">
        <f>'Caesar Sq'!F4</f>
        <v>FY 2016 - 9 month Avg</v>
      </c>
      <c r="G4" s="126"/>
      <c r="H4" s="111"/>
      <c r="I4" s="127" t="s">
        <v>427</v>
      </c>
      <c r="J4" s="113" t="s">
        <v>428</v>
      </c>
      <c r="K4" s="133"/>
      <c r="L4" s="32"/>
      <c r="M4" s="32"/>
      <c r="N4" s="32"/>
      <c r="O4" s="32"/>
      <c r="P4" s="32"/>
      <c r="Q4" s="32"/>
    </row>
    <row r="5" spans="1:17" x14ac:dyDescent="0.25">
      <c r="A5" s="104" t="s">
        <v>33</v>
      </c>
      <c r="B5" s="104">
        <v>3</v>
      </c>
      <c r="C5" s="45">
        <f>SUM('[2]2014'!C2:E2)-11</f>
        <v>-2551410.09</v>
      </c>
      <c r="D5" s="46">
        <v>973240</v>
      </c>
      <c r="E5" s="46">
        <v>781279</v>
      </c>
      <c r="F5" s="46">
        <f>E5/9</f>
        <v>86808.777777777781</v>
      </c>
      <c r="G5" s="46"/>
      <c r="H5" s="57">
        <v>0</v>
      </c>
      <c r="I5" s="57">
        <v>1049520</v>
      </c>
      <c r="J5" s="58">
        <f>I5/12</f>
        <v>87460</v>
      </c>
      <c r="K5" s="107"/>
      <c r="L5">
        <f t="shared" ref="L5:L13" si="0">SUM(E5)+(F5*3)*1.03</f>
        <v>1049518.1233333333</v>
      </c>
      <c r="N5" s="21" t="s">
        <v>74</v>
      </c>
    </row>
    <row r="6" spans="1:17" x14ac:dyDescent="0.25">
      <c r="A6" s="44" t="s">
        <v>237</v>
      </c>
      <c r="B6" s="44">
        <v>3</v>
      </c>
      <c r="C6" s="45">
        <f>-9280.22-11865</f>
        <v>-21145.22</v>
      </c>
      <c r="D6" s="46">
        <v>0</v>
      </c>
      <c r="E6" s="46">
        <v>25</v>
      </c>
      <c r="F6" s="46">
        <f>E6/9</f>
        <v>2.7777777777777777</v>
      </c>
      <c r="G6" s="46"/>
      <c r="H6" s="57">
        <f>D6*$M$7</f>
        <v>0</v>
      </c>
      <c r="I6" s="57">
        <v>50</v>
      </c>
      <c r="J6" s="58">
        <f>I6/12</f>
        <v>4.166666666666667</v>
      </c>
      <c r="K6" s="145"/>
      <c r="L6">
        <f t="shared" si="0"/>
        <v>33.583333333333329</v>
      </c>
    </row>
    <row r="7" spans="1:17" x14ac:dyDescent="0.25">
      <c r="A7" s="44" t="s">
        <v>209</v>
      </c>
      <c r="B7" s="44">
        <v>3</v>
      </c>
      <c r="C7" s="45">
        <f>SUM('[2]2014'!C3:E3)+60000</f>
        <v>-179911.18</v>
      </c>
      <c r="D7" s="46">
        <v>81270</v>
      </c>
      <c r="E7" s="46">
        <v>60747</v>
      </c>
      <c r="F7" s="46">
        <f t="shared" ref="F7:F12" si="1">E7/9</f>
        <v>6749.666666666667</v>
      </c>
      <c r="G7" s="46"/>
      <c r="H7" s="57">
        <v>0</v>
      </c>
      <c r="I7" s="57">
        <v>81600</v>
      </c>
      <c r="J7" s="58">
        <f t="shared" ref="J7:J95" si="2">I7/12</f>
        <v>6800</v>
      </c>
      <c r="K7" s="104"/>
      <c r="L7">
        <f t="shared" si="0"/>
        <v>81603.47</v>
      </c>
      <c r="N7" s="23">
        <v>0.05</v>
      </c>
    </row>
    <row r="8" spans="1:17" x14ac:dyDescent="0.25">
      <c r="A8" s="44" t="s">
        <v>34</v>
      </c>
      <c r="B8" s="44">
        <v>3</v>
      </c>
      <c r="C8" s="45">
        <f>SUM('[2]2014'!C4:E4)-15906</f>
        <v>28396.380000000005</v>
      </c>
      <c r="D8" s="46">
        <v>-19460</v>
      </c>
      <c r="E8" s="46">
        <v>-8721</v>
      </c>
      <c r="F8" s="46">
        <f t="shared" si="1"/>
        <v>-969</v>
      </c>
      <c r="G8" s="46"/>
      <c r="H8" s="57">
        <f t="shared" ref="H8:H13" si="3">D8*$N$9</f>
        <v>-583.79999999999995</v>
      </c>
      <c r="I8" s="57">
        <v>-20990</v>
      </c>
      <c r="J8" s="58">
        <f t="shared" si="2"/>
        <v>-1749.1666666666667</v>
      </c>
      <c r="K8" s="101" t="s">
        <v>568</v>
      </c>
      <c r="L8">
        <f>I5*2%</f>
        <v>20990.400000000001</v>
      </c>
      <c r="N8" s="21" t="s">
        <v>392</v>
      </c>
    </row>
    <row r="9" spans="1:17" x14ac:dyDescent="0.25">
      <c r="A9" s="44" t="s">
        <v>35</v>
      </c>
      <c r="B9" s="44">
        <v>3</v>
      </c>
      <c r="C9" s="45">
        <f>SUM('[2]2014'!C5:E5)-16</f>
        <v>-552.97</v>
      </c>
      <c r="D9" s="46">
        <v>160</v>
      </c>
      <c r="E9" s="46">
        <v>106</v>
      </c>
      <c r="F9" s="46">
        <f t="shared" si="1"/>
        <v>11.777777777777779</v>
      </c>
      <c r="G9" s="46"/>
      <c r="H9" s="57">
        <v>0</v>
      </c>
      <c r="I9" s="57">
        <v>160</v>
      </c>
      <c r="J9" s="58">
        <f t="shared" si="2"/>
        <v>13.333333333333334</v>
      </c>
      <c r="K9" s="104"/>
      <c r="L9">
        <f t="shared" si="0"/>
        <v>142.39333333333335</v>
      </c>
      <c r="N9" s="23">
        <v>0.03</v>
      </c>
    </row>
    <row r="10" spans="1:17" x14ac:dyDescent="0.25">
      <c r="A10" s="44" t="s">
        <v>294</v>
      </c>
      <c r="B10" s="44">
        <v>3</v>
      </c>
      <c r="C10" s="45">
        <f>SUM('[2]2014'!C6:E6)</f>
        <v>-22253.1</v>
      </c>
      <c r="D10" s="46">
        <v>9250</v>
      </c>
      <c r="E10" s="46">
        <v>8504</v>
      </c>
      <c r="F10" s="46">
        <f t="shared" si="1"/>
        <v>944.88888888888891</v>
      </c>
      <c r="G10" s="46"/>
      <c r="H10" s="57">
        <f t="shared" si="3"/>
        <v>277.5</v>
      </c>
      <c r="I10" s="57">
        <v>11420</v>
      </c>
      <c r="J10" s="58">
        <f t="shared" si="2"/>
        <v>951.66666666666663</v>
      </c>
      <c r="K10" s="104"/>
      <c r="L10">
        <f t="shared" si="0"/>
        <v>11423.706666666667</v>
      </c>
    </row>
    <row r="11" spans="1:17" x14ac:dyDescent="0.25">
      <c r="A11" s="44" t="s">
        <v>37</v>
      </c>
      <c r="B11" s="44">
        <v>3</v>
      </c>
      <c r="C11" s="45">
        <f>SUM('[2]2014'!C7:E7)</f>
        <v>-7019</v>
      </c>
      <c r="D11" s="46">
        <v>1570</v>
      </c>
      <c r="E11" s="46">
        <v>1372</v>
      </c>
      <c r="F11" s="46">
        <f t="shared" si="1"/>
        <v>152.44444444444446</v>
      </c>
      <c r="G11" s="46"/>
      <c r="H11" s="57">
        <f t="shared" si="3"/>
        <v>47.1</v>
      </c>
      <c r="I11" s="57">
        <v>1840</v>
      </c>
      <c r="J11" s="58">
        <f t="shared" si="2"/>
        <v>153.33333333333334</v>
      </c>
      <c r="K11" s="104"/>
      <c r="L11">
        <f t="shared" si="0"/>
        <v>1843.0533333333333</v>
      </c>
    </row>
    <row r="12" spans="1:17" x14ac:dyDescent="0.25">
      <c r="A12" s="44" t="s">
        <v>295</v>
      </c>
      <c r="B12" s="44">
        <v>3</v>
      </c>
      <c r="C12" s="45">
        <f>SUM('[2]2014'!C8:E8)-21</f>
        <v>-6291</v>
      </c>
      <c r="D12" s="46">
        <v>2460</v>
      </c>
      <c r="E12" s="46">
        <v>1020</v>
      </c>
      <c r="F12" s="46">
        <f t="shared" si="1"/>
        <v>113.33333333333333</v>
      </c>
      <c r="G12" s="46"/>
      <c r="H12" s="57">
        <f t="shared" si="3"/>
        <v>73.8</v>
      </c>
      <c r="I12" s="57">
        <v>1370</v>
      </c>
      <c r="J12" s="58">
        <f t="shared" si="2"/>
        <v>114.16666666666667</v>
      </c>
      <c r="K12" s="104"/>
      <c r="L12">
        <f t="shared" si="0"/>
        <v>1370.2</v>
      </c>
    </row>
    <row r="13" spans="1:17" x14ac:dyDescent="0.25">
      <c r="A13" s="44" t="s">
        <v>212</v>
      </c>
      <c r="B13" s="44">
        <v>3</v>
      </c>
      <c r="C13" s="52">
        <f>SUM('[2]2014'!C9:E9)-21</f>
        <v>-29563.57</v>
      </c>
      <c r="D13" s="53">
        <v>7750</v>
      </c>
      <c r="E13" s="53">
        <v>8986</v>
      </c>
      <c r="F13" s="53">
        <f>E13/9</f>
        <v>998.44444444444446</v>
      </c>
      <c r="G13" s="53"/>
      <c r="H13" s="137">
        <f t="shared" si="3"/>
        <v>232.5</v>
      </c>
      <c r="I13" s="137">
        <v>12070</v>
      </c>
      <c r="J13" s="139">
        <f t="shared" si="2"/>
        <v>1005.8333333333334</v>
      </c>
      <c r="K13" s="104"/>
      <c r="L13">
        <f t="shared" si="0"/>
        <v>12071.193333333333</v>
      </c>
    </row>
    <row r="14" spans="1:17" x14ac:dyDescent="0.25">
      <c r="A14" s="75" t="s">
        <v>75</v>
      </c>
      <c r="B14" s="44"/>
      <c r="C14" s="45">
        <f t="shared" ref="C14:J14" si="4">SUM(C5:C13)</f>
        <v>-2789749.7500000005</v>
      </c>
      <c r="D14" s="46">
        <f t="shared" si="4"/>
        <v>1056240</v>
      </c>
      <c r="E14" s="46">
        <f t="shared" si="4"/>
        <v>853318</v>
      </c>
      <c r="F14" s="46">
        <f>SUM(F5:F13)</f>
        <v>94813.111111111109</v>
      </c>
      <c r="G14" s="46"/>
      <c r="H14" s="57">
        <f t="shared" si="4"/>
        <v>47.10000000000008</v>
      </c>
      <c r="I14" s="57">
        <f t="shared" si="4"/>
        <v>1137040</v>
      </c>
      <c r="J14" s="58">
        <f t="shared" si="4"/>
        <v>94753.333333333328</v>
      </c>
      <c r="K14" s="104"/>
    </row>
    <row r="15" spans="1:17" x14ac:dyDescent="0.25">
      <c r="A15" s="44"/>
      <c r="B15" s="44"/>
      <c r="C15" s="45"/>
      <c r="D15" s="46"/>
      <c r="E15" s="46"/>
      <c r="F15" s="46"/>
      <c r="G15" s="46"/>
      <c r="H15" s="57"/>
      <c r="I15" s="57"/>
      <c r="J15" s="58"/>
      <c r="K15" s="104"/>
    </row>
    <row r="16" spans="1:17" x14ac:dyDescent="0.25">
      <c r="A16" s="44" t="s">
        <v>76</v>
      </c>
      <c r="B16" s="44"/>
      <c r="C16" s="45">
        <f>C42</f>
        <v>367831</v>
      </c>
      <c r="D16" s="46">
        <f>-D42</f>
        <v>-156690</v>
      </c>
      <c r="E16" s="46">
        <f>-E42</f>
        <v>-126886</v>
      </c>
      <c r="F16" s="46">
        <f>E16/9</f>
        <v>-14098.444444444445</v>
      </c>
      <c r="G16" s="46"/>
      <c r="H16" s="57">
        <f t="shared" ref="H16" si="5">H42</f>
        <v>1948.2000000000003</v>
      </c>
      <c r="I16" s="57">
        <f>-I42</f>
        <v>-165710</v>
      </c>
      <c r="J16" s="58">
        <f>-J42</f>
        <v>-13809.166666666662</v>
      </c>
      <c r="K16" s="104"/>
    </row>
    <row r="17" spans="1:14" x14ac:dyDescent="0.25">
      <c r="A17" s="44" t="s">
        <v>240</v>
      </c>
      <c r="B17" s="44"/>
      <c r="C17" s="45">
        <f>C49</f>
        <v>263133.33</v>
      </c>
      <c r="D17" s="46">
        <f>-D49</f>
        <v>-87370</v>
      </c>
      <c r="E17" s="46">
        <f>-E49</f>
        <v>-58114</v>
      </c>
      <c r="F17" s="46">
        <f t="shared" ref="F17:F21" si="6">E17/9</f>
        <v>-6457.1111111111113</v>
      </c>
      <c r="G17" s="46"/>
      <c r="H17" s="57">
        <f t="shared" ref="H17" si="7">H49</f>
        <v>0</v>
      </c>
      <c r="I17" s="57">
        <f>-I49</f>
        <v>-78520</v>
      </c>
      <c r="J17" s="58">
        <f>-J49</f>
        <v>-6543.333333333333</v>
      </c>
      <c r="K17" s="101"/>
    </row>
    <row r="18" spans="1:14" x14ac:dyDescent="0.25">
      <c r="A18" s="44" t="s">
        <v>88</v>
      </c>
      <c r="B18" s="44"/>
      <c r="C18" s="45">
        <f>C66</f>
        <v>560418.51</v>
      </c>
      <c r="D18" s="46">
        <f>-D66</f>
        <v>-220730</v>
      </c>
      <c r="E18" s="46">
        <f>-E66</f>
        <v>-186089</v>
      </c>
      <c r="F18" s="46">
        <f t="shared" si="6"/>
        <v>-20676.555555555555</v>
      </c>
      <c r="G18" s="45"/>
      <c r="H18" s="115">
        <f>H66</f>
        <v>2901.6</v>
      </c>
      <c r="I18" s="57">
        <f>-I66</f>
        <v>-253930</v>
      </c>
      <c r="J18" s="58">
        <f>-J66</f>
        <v>-21160.833333333332</v>
      </c>
      <c r="K18" s="104"/>
    </row>
    <row r="19" spans="1:14" x14ac:dyDescent="0.25">
      <c r="A19" s="44" t="s">
        <v>77</v>
      </c>
      <c r="B19" s="44"/>
      <c r="C19" s="45">
        <f>C76</f>
        <v>682491.40999999992</v>
      </c>
      <c r="D19" s="46">
        <f>-D76</f>
        <v>-237100</v>
      </c>
      <c r="E19" s="46">
        <f>-E76</f>
        <v>-194831</v>
      </c>
      <c r="F19" s="46">
        <f t="shared" si="6"/>
        <v>-21647.888888888891</v>
      </c>
      <c r="G19" s="45"/>
      <c r="H19" s="115">
        <f>H76</f>
        <v>250.79999999999998</v>
      </c>
      <c r="I19" s="57">
        <f>-I76</f>
        <v>-251040</v>
      </c>
      <c r="J19" s="58">
        <f>-J76</f>
        <v>-20920</v>
      </c>
      <c r="K19" s="101"/>
    </row>
    <row r="20" spans="1:14" x14ac:dyDescent="0.25">
      <c r="A20" s="44" t="s">
        <v>296</v>
      </c>
      <c r="B20" s="44"/>
      <c r="C20" s="45">
        <f>C81</f>
        <v>241400</v>
      </c>
      <c r="D20" s="46">
        <f>-D81</f>
        <v>-241400</v>
      </c>
      <c r="E20" s="46">
        <f>-E81</f>
        <v>-201167</v>
      </c>
      <c r="F20" s="46">
        <f t="shared" si="6"/>
        <v>-22351.888888888891</v>
      </c>
      <c r="G20" s="45"/>
      <c r="H20" s="80">
        <f>H81</f>
        <v>0</v>
      </c>
      <c r="I20" s="57">
        <f>-I81</f>
        <v>-241400</v>
      </c>
      <c r="J20" s="58">
        <f>-J81</f>
        <v>-20116.666666666664</v>
      </c>
      <c r="K20" s="101"/>
    </row>
    <row r="21" spans="1:14" x14ac:dyDescent="0.25">
      <c r="A21" s="44" t="s">
        <v>78</v>
      </c>
      <c r="B21" s="44"/>
      <c r="C21" s="45">
        <f>C85</f>
        <v>94513.81</v>
      </c>
      <c r="D21" s="46">
        <f>-D85</f>
        <v>-31500</v>
      </c>
      <c r="E21" s="46">
        <f>-E85</f>
        <v>-23625</v>
      </c>
      <c r="F21" s="46">
        <f t="shared" si="6"/>
        <v>-2625</v>
      </c>
      <c r="G21" s="45"/>
      <c r="H21" s="115">
        <f>H85</f>
        <v>0</v>
      </c>
      <c r="I21" s="57">
        <f>-I85</f>
        <v>-31500</v>
      </c>
      <c r="J21" s="58">
        <f>-J85</f>
        <v>-2625</v>
      </c>
      <c r="K21" s="106"/>
      <c r="L21" s="24"/>
    </row>
    <row r="22" spans="1:14" x14ac:dyDescent="0.25">
      <c r="A22" s="44" t="s">
        <v>79</v>
      </c>
      <c r="B22" s="44"/>
      <c r="C22" s="52">
        <f>C96</f>
        <v>224039.34</v>
      </c>
      <c r="D22" s="53">
        <f>-D96</f>
        <v>-66000</v>
      </c>
      <c r="E22" s="53">
        <f>-E96</f>
        <v>-3025</v>
      </c>
      <c r="F22" s="53">
        <f>E22/9</f>
        <v>-336.11111111111109</v>
      </c>
      <c r="G22" s="53"/>
      <c r="H22" s="137">
        <f>H96</f>
        <v>0</v>
      </c>
      <c r="I22" s="137">
        <f>-I96</f>
        <v>-178000</v>
      </c>
      <c r="J22" s="139">
        <f>-J96</f>
        <v>-14833.333333333332</v>
      </c>
      <c r="K22" s="106"/>
    </row>
    <row r="23" spans="1:14" x14ac:dyDescent="0.25">
      <c r="A23" s="44" t="s">
        <v>80</v>
      </c>
      <c r="B23" s="44"/>
      <c r="C23" s="140">
        <f>SUM(C16:C22)</f>
        <v>2433827.4</v>
      </c>
      <c r="D23" s="141">
        <f t="shared" ref="D23:E23" si="8">SUM(D16:D22)</f>
        <v>-1040790</v>
      </c>
      <c r="E23" s="141">
        <f t="shared" si="8"/>
        <v>-793737</v>
      </c>
      <c r="F23" s="141">
        <f>SUM(F16:F22)</f>
        <v>-88193</v>
      </c>
      <c r="G23" s="141"/>
      <c r="H23" s="163">
        <f t="shared" ref="H23" si="9">SUM(H17:H22)</f>
        <v>3152.4</v>
      </c>
      <c r="I23" s="163">
        <f>SUM(I16:I22)</f>
        <v>-1200100</v>
      </c>
      <c r="J23" s="164">
        <f>SUM(J16:J22)</f>
        <v>-100008.33333333333</v>
      </c>
      <c r="K23" s="265"/>
    </row>
    <row r="24" spans="1:14" x14ac:dyDescent="0.25">
      <c r="A24" s="44"/>
      <c r="B24" s="44"/>
      <c r="C24" s="45"/>
      <c r="D24" s="45"/>
      <c r="E24" s="45"/>
      <c r="F24" s="45"/>
      <c r="G24" s="45"/>
      <c r="H24" s="115"/>
      <c r="I24" s="115"/>
      <c r="J24" s="116"/>
      <c r="K24" s="106"/>
    </row>
    <row r="25" spans="1:14" ht="15.75" thickBot="1" x14ac:dyDescent="0.3">
      <c r="A25" s="121" t="s">
        <v>550</v>
      </c>
      <c r="B25" s="122"/>
      <c r="C25" s="123">
        <f>SUM(-C14-C23)</f>
        <v>355922.35000000056</v>
      </c>
      <c r="D25" s="72">
        <f>SUM(D14+D23)+D75</f>
        <v>166130</v>
      </c>
      <c r="E25" s="72">
        <f t="shared" ref="E25:F25" si="10">SUM(E14+E23)+E75</f>
        <v>169405</v>
      </c>
      <c r="F25" s="72">
        <f t="shared" si="10"/>
        <v>18822.777777777774</v>
      </c>
      <c r="G25" s="72"/>
      <c r="H25" s="73">
        <f>SUM(-H14-H23)</f>
        <v>-3199.5</v>
      </c>
      <c r="I25" s="73">
        <f>SUM(I14+I23)+I75</f>
        <v>83370</v>
      </c>
      <c r="J25" s="74">
        <f>SUM(J14+J23)+J75</f>
        <v>6947.5</v>
      </c>
      <c r="K25" s="106"/>
    </row>
    <row r="26" spans="1:14" x14ac:dyDescent="0.25">
      <c r="A26" s="75" t="s">
        <v>449</v>
      </c>
      <c r="B26" s="44"/>
      <c r="C26" s="45"/>
      <c r="D26" s="45"/>
      <c r="E26" s="45"/>
      <c r="F26" s="45"/>
      <c r="G26" s="45"/>
      <c r="H26" s="115"/>
      <c r="I26" s="115"/>
      <c r="J26" s="116"/>
      <c r="K26" s="106"/>
    </row>
    <row r="27" spans="1:14" x14ac:dyDescent="0.25">
      <c r="A27" s="44" t="s">
        <v>38</v>
      </c>
      <c r="B27" s="63">
        <v>3</v>
      </c>
      <c r="C27" s="45">
        <f>SUM('[2]2014'!C10:E10)+18</f>
        <v>5563.7</v>
      </c>
      <c r="D27" s="45">
        <v>450</v>
      </c>
      <c r="E27" s="45">
        <v>0</v>
      </c>
      <c r="F27" s="45">
        <f>E27/9</f>
        <v>0</v>
      </c>
      <c r="G27" s="45"/>
      <c r="H27" s="115">
        <f t="shared" ref="H27:H32" si="11">D27*$N$9</f>
        <v>13.5</v>
      </c>
      <c r="I27" s="115">
        <v>450</v>
      </c>
      <c r="J27" s="116">
        <f t="shared" si="2"/>
        <v>37.5</v>
      </c>
      <c r="K27" s="106"/>
      <c r="L27">
        <f t="shared" ref="L27:L41" si="12">SUM(E27)+(F27*3)*1.03</f>
        <v>0</v>
      </c>
    </row>
    <row r="28" spans="1:14" x14ac:dyDescent="0.25">
      <c r="A28" s="44" t="s">
        <v>39</v>
      </c>
      <c r="B28" s="44">
        <v>3</v>
      </c>
      <c r="C28" s="45">
        <f>SUM('[2]2014'!C11:E11)-1</f>
        <v>15234.239999999998</v>
      </c>
      <c r="D28" s="45">
        <v>37290</v>
      </c>
      <c r="E28" s="45">
        <v>28246</v>
      </c>
      <c r="F28" s="45">
        <f t="shared" ref="F28:F40" si="13">E28/9</f>
        <v>3138.4444444444443</v>
      </c>
      <c r="G28" s="45"/>
      <c r="H28" s="115">
        <v>0</v>
      </c>
      <c r="I28" s="115">
        <f>37940-12650</f>
        <v>25290</v>
      </c>
      <c r="J28" s="116">
        <f t="shared" si="2"/>
        <v>2107.5</v>
      </c>
      <c r="K28" s="101" t="s">
        <v>635</v>
      </c>
      <c r="L28">
        <f t="shared" si="12"/>
        <v>37943.793333333335</v>
      </c>
      <c r="M28">
        <f>37940/3</f>
        <v>12646.666666666666</v>
      </c>
      <c r="N28" t="s">
        <v>633</v>
      </c>
    </row>
    <row r="29" spans="1:14" ht="15.75" thickBot="1" x14ac:dyDescent="0.3">
      <c r="A29" s="44" t="s">
        <v>40</v>
      </c>
      <c r="B29" s="151">
        <v>3</v>
      </c>
      <c r="C29" s="45">
        <f>SUM('[2]2014'!C12:E12)+16</f>
        <v>4280.53</v>
      </c>
      <c r="D29" s="45">
        <v>1660</v>
      </c>
      <c r="E29" s="45">
        <v>652</v>
      </c>
      <c r="F29" s="45">
        <f t="shared" si="13"/>
        <v>72.444444444444443</v>
      </c>
      <c r="G29" s="45"/>
      <c r="H29" s="115">
        <v>0</v>
      </c>
      <c r="I29" s="115">
        <v>880</v>
      </c>
      <c r="J29" s="116">
        <f t="shared" si="2"/>
        <v>73.333333333333329</v>
      </c>
      <c r="K29" s="107"/>
      <c r="L29">
        <f t="shared" si="12"/>
        <v>875.85333333333335</v>
      </c>
    </row>
    <row r="30" spans="1:14" ht="15.75" thickTop="1" x14ac:dyDescent="0.25">
      <c r="A30" s="44" t="s">
        <v>297</v>
      </c>
      <c r="B30" s="44">
        <v>3</v>
      </c>
      <c r="C30" s="45">
        <f>SUM('[2]2014'!C13:E13)+12</f>
        <v>3378.5</v>
      </c>
      <c r="D30" s="45">
        <v>1690</v>
      </c>
      <c r="E30" s="45">
        <v>1321</v>
      </c>
      <c r="F30" s="45">
        <f t="shared" si="13"/>
        <v>146.77777777777777</v>
      </c>
      <c r="G30" s="45"/>
      <c r="H30" s="115">
        <f t="shared" si="11"/>
        <v>50.699999999999996</v>
      </c>
      <c r="I30" s="115">
        <v>1780</v>
      </c>
      <c r="J30" s="116">
        <f t="shared" si="2"/>
        <v>148.33333333333334</v>
      </c>
      <c r="K30" s="107"/>
      <c r="L30">
        <f t="shared" si="12"/>
        <v>1774.5433333333333</v>
      </c>
    </row>
    <row r="31" spans="1:14" x14ac:dyDescent="0.25">
      <c r="A31" s="44" t="s">
        <v>429</v>
      </c>
      <c r="B31" s="44">
        <v>3</v>
      </c>
      <c r="C31" s="45">
        <f>SUM('[2]2014'!C14:E14)+8</f>
        <v>2475.6</v>
      </c>
      <c r="D31" s="45">
        <v>2130</v>
      </c>
      <c r="E31" s="45">
        <v>1043</v>
      </c>
      <c r="F31" s="45">
        <f t="shared" si="13"/>
        <v>115.88888888888889</v>
      </c>
      <c r="G31" s="45"/>
      <c r="H31" s="115">
        <f t="shared" si="11"/>
        <v>63.9</v>
      </c>
      <c r="I31" s="115">
        <v>1400</v>
      </c>
      <c r="J31" s="116">
        <f t="shared" si="2"/>
        <v>116.66666666666667</v>
      </c>
      <c r="K31" s="104"/>
      <c r="L31">
        <f t="shared" si="12"/>
        <v>1401.0966666666666</v>
      </c>
    </row>
    <row r="32" spans="1:14" x14ac:dyDescent="0.25">
      <c r="A32" s="44" t="s">
        <v>298</v>
      </c>
      <c r="B32" s="44">
        <v>3</v>
      </c>
      <c r="C32" s="45">
        <f>SUM('[2]2014'!C15:E15)+14</f>
        <v>2474.48</v>
      </c>
      <c r="D32" s="45">
        <v>1680</v>
      </c>
      <c r="E32" s="45">
        <v>952</v>
      </c>
      <c r="F32" s="45">
        <f t="shared" si="13"/>
        <v>105.77777777777777</v>
      </c>
      <c r="G32" s="45"/>
      <c r="H32" s="115">
        <f t="shared" si="11"/>
        <v>50.4</v>
      </c>
      <c r="I32" s="115">
        <v>1280</v>
      </c>
      <c r="J32" s="116">
        <f t="shared" si="2"/>
        <v>106.66666666666667</v>
      </c>
      <c r="K32" s="104"/>
      <c r="L32">
        <f t="shared" si="12"/>
        <v>1278.8533333333332</v>
      </c>
    </row>
    <row r="33" spans="1:14" x14ac:dyDescent="0.25">
      <c r="A33" s="44" t="s">
        <v>269</v>
      </c>
      <c r="B33" s="44">
        <v>3</v>
      </c>
      <c r="C33" s="45">
        <f>130158+1285</f>
        <v>131443</v>
      </c>
      <c r="D33" s="45">
        <v>52800</v>
      </c>
      <c r="E33" s="45">
        <v>39623</v>
      </c>
      <c r="F33" s="45">
        <f t="shared" si="13"/>
        <v>4402.5555555555557</v>
      </c>
      <c r="G33" s="45"/>
      <c r="H33" s="115">
        <v>0</v>
      </c>
      <c r="I33" s="115">
        <v>60690</v>
      </c>
      <c r="J33" s="116">
        <f>I33/12</f>
        <v>5057.5</v>
      </c>
      <c r="K33" s="101" t="s">
        <v>535</v>
      </c>
      <c r="L33">
        <f>SUM(I14-I7)*5.75%</f>
        <v>60687.8</v>
      </c>
    </row>
    <row r="34" spans="1:14" x14ac:dyDescent="0.25">
      <c r="A34" s="44" t="s">
        <v>299</v>
      </c>
      <c r="B34" s="44">
        <v>3</v>
      </c>
      <c r="C34" s="45">
        <f>SUM('[2]2014'!C17:E17)+8</f>
        <v>152795</v>
      </c>
      <c r="D34" s="45">
        <v>40000</v>
      </c>
      <c r="E34" s="45">
        <v>40852</v>
      </c>
      <c r="F34" s="45">
        <f t="shared" si="13"/>
        <v>4539.1111111111113</v>
      </c>
      <c r="G34" s="45"/>
      <c r="H34" s="115">
        <f t="shared" ref="H34:H41" si="14">D34*$N$9</f>
        <v>1200</v>
      </c>
      <c r="I34" s="115">
        <v>54880</v>
      </c>
      <c r="J34" s="116">
        <f t="shared" si="2"/>
        <v>4573.333333333333</v>
      </c>
      <c r="K34" s="104"/>
      <c r="L34">
        <f t="shared" si="12"/>
        <v>54877.853333333333</v>
      </c>
    </row>
    <row r="35" spans="1:14" x14ac:dyDescent="0.25">
      <c r="A35" s="44" t="s">
        <v>270</v>
      </c>
      <c r="B35" s="44">
        <v>3</v>
      </c>
      <c r="C35" s="45">
        <f>SUM('[2]2014'!C18:E18)+2</f>
        <v>2736.5</v>
      </c>
      <c r="D35" s="45">
        <v>380</v>
      </c>
      <c r="E35" s="45">
        <v>347</v>
      </c>
      <c r="F35" s="45">
        <f t="shared" si="13"/>
        <v>38.555555555555557</v>
      </c>
      <c r="G35" s="45"/>
      <c r="H35" s="115">
        <f t="shared" si="14"/>
        <v>11.4</v>
      </c>
      <c r="I35" s="115">
        <v>470</v>
      </c>
      <c r="J35" s="116">
        <f t="shared" si="2"/>
        <v>39.166666666666664</v>
      </c>
      <c r="K35" s="104"/>
      <c r="L35">
        <f t="shared" si="12"/>
        <v>466.13666666666666</v>
      </c>
    </row>
    <row r="36" spans="1:14" x14ac:dyDescent="0.25">
      <c r="A36" s="44" t="s">
        <v>43</v>
      </c>
      <c r="B36" s="44">
        <v>3</v>
      </c>
      <c r="C36" s="45">
        <f>SUM('[2]2014'!C19:E19)+18</f>
        <v>4631.41</v>
      </c>
      <c r="D36" s="45">
        <v>2600</v>
      </c>
      <c r="E36" s="45">
        <v>3767</v>
      </c>
      <c r="F36" s="45">
        <f t="shared" si="13"/>
        <v>418.55555555555554</v>
      </c>
      <c r="G36" s="45"/>
      <c r="H36" s="115">
        <f t="shared" si="14"/>
        <v>78</v>
      </c>
      <c r="I36" s="115">
        <v>5060</v>
      </c>
      <c r="J36" s="116">
        <f t="shared" si="2"/>
        <v>421.66666666666669</v>
      </c>
      <c r="K36" s="104"/>
      <c r="L36">
        <f t="shared" si="12"/>
        <v>5060.3366666666661</v>
      </c>
    </row>
    <row r="37" spans="1:14" x14ac:dyDescent="0.25">
      <c r="A37" s="44" t="s">
        <v>44</v>
      </c>
      <c r="B37" s="44">
        <v>3</v>
      </c>
      <c r="C37" s="45">
        <f>SUM('[2]2014'!C20:E20)+16</f>
        <v>16164.9</v>
      </c>
      <c r="D37" s="45">
        <v>4690</v>
      </c>
      <c r="E37" s="45">
        <v>4060</v>
      </c>
      <c r="F37" s="45">
        <f>E37/9</f>
        <v>451.11111111111109</v>
      </c>
      <c r="G37" s="45"/>
      <c r="H37" s="115">
        <f t="shared" si="14"/>
        <v>140.69999999999999</v>
      </c>
      <c r="I37" s="115">
        <v>5450</v>
      </c>
      <c r="J37" s="116">
        <f t="shared" si="2"/>
        <v>454.16666666666669</v>
      </c>
      <c r="K37" s="101"/>
      <c r="L37">
        <f t="shared" si="12"/>
        <v>5453.9333333333334</v>
      </c>
    </row>
    <row r="38" spans="1:14" x14ac:dyDescent="0.25">
      <c r="A38" s="44" t="s">
        <v>300</v>
      </c>
      <c r="B38" s="44">
        <v>3</v>
      </c>
      <c r="C38" s="45">
        <f>SUM('[2]2014'!C21:E21)-4</f>
        <v>2331.38</v>
      </c>
      <c r="D38" s="45">
        <v>880</v>
      </c>
      <c r="E38" s="45">
        <v>508</v>
      </c>
      <c r="F38" s="45">
        <f t="shared" si="13"/>
        <v>56.444444444444443</v>
      </c>
      <c r="G38" s="45"/>
      <c r="H38" s="115">
        <f t="shared" si="14"/>
        <v>26.4</v>
      </c>
      <c r="I38" s="115">
        <v>680</v>
      </c>
      <c r="J38" s="116">
        <f t="shared" si="2"/>
        <v>56.666666666666664</v>
      </c>
      <c r="K38" s="104"/>
      <c r="L38">
        <f t="shared" si="12"/>
        <v>682.4133333333333</v>
      </c>
    </row>
    <row r="39" spans="1:14" x14ac:dyDescent="0.25">
      <c r="A39" s="44" t="s">
        <v>271</v>
      </c>
      <c r="B39" s="44">
        <v>3</v>
      </c>
      <c r="C39" s="45">
        <f>SUM('[2]2014'!C22:E22)-4</f>
        <v>7369.89</v>
      </c>
      <c r="D39" s="45">
        <v>6080</v>
      </c>
      <c r="E39" s="45">
        <v>2168</v>
      </c>
      <c r="F39" s="45">
        <f t="shared" si="13"/>
        <v>240.88888888888889</v>
      </c>
      <c r="G39" s="45"/>
      <c r="H39" s="115">
        <f t="shared" si="14"/>
        <v>182.4</v>
      </c>
      <c r="I39" s="115">
        <v>2910</v>
      </c>
      <c r="J39" s="116">
        <f t="shared" si="2"/>
        <v>242.5</v>
      </c>
      <c r="K39" s="104"/>
      <c r="L39">
        <f t="shared" si="12"/>
        <v>2912.3466666666668</v>
      </c>
    </row>
    <row r="40" spans="1:14" x14ac:dyDescent="0.25">
      <c r="A40" s="44" t="s">
        <v>245</v>
      </c>
      <c r="B40" s="44">
        <v>3</v>
      </c>
      <c r="C40" s="45">
        <f>SUM('[2]2014'!C23:E23)+8</f>
        <v>12960.789999999999</v>
      </c>
      <c r="D40" s="45">
        <v>1390</v>
      </c>
      <c r="E40" s="45">
        <v>887</v>
      </c>
      <c r="F40" s="45">
        <f t="shared" si="13"/>
        <v>98.555555555555557</v>
      </c>
      <c r="G40" s="45"/>
      <c r="H40" s="115">
        <f t="shared" si="14"/>
        <v>41.699999999999996</v>
      </c>
      <c r="I40" s="115">
        <v>1190</v>
      </c>
      <c r="J40" s="116">
        <f t="shared" si="2"/>
        <v>99.166666666666671</v>
      </c>
      <c r="K40" s="104"/>
      <c r="L40">
        <f t="shared" si="12"/>
        <v>1191.5366666666666</v>
      </c>
    </row>
    <row r="41" spans="1:14" x14ac:dyDescent="0.25">
      <c r="A41" s="44" t="s">
        <v>46</v>
      </c>
      <c r="B41" s="44">
        <v>3</v>
      </c>
      <c r="C41" s="52">
        <f>SUM('[2]2014'!C24:E24)-12</f>
        <v>3991.08</v>
      </c>
      <c r="D41" s="52">
        <v>2970</v>
      </c>
      <c r="E41" s="52">
        <v>2460</v>
      </c>
      <c r="F41" s="52">
        <f>E41/9</f>
        <v>273.33333333333331</v>
      </c>
      <c r="G41" s="52"/>
      <c r="H41" s="142">
        <f t="shared" si="14"/>
        <v>89.1</v>
      </c>
      <c r="I41" s="142">
        <v>3300</v>
      </c>
      <c r="J41" s="120">
        <f t="shared" si="2"/>
        <v>275</v>
      </c>
      <c r="K41" s="104"/>
      <c r="L41">
        <f t="shared" si="12"/>
        <v>3304.6</v>
      </c>
    </row>
    <row r="42" spans="1:14" x14ac:dyDescent="0.25">
      <c r="A42" s="75" t="s">
        <v>81</v>
      </c>
      <c r="B42" s="44"/>
      <c r="C42" s="45">
        <f t="shared" ref="C42:J42" si="15">SUM(C27:C41)</f>
        <v>367831</v>
      </c>
      <c r="D42" s="45">
        <f t="shared" si="15"/>
        <v>156690</v>
      </c>
      <c r="E42" s="45">
        <f t="shared" si="15"/>
        <v>126886</v>
      </c>
      <c r="F42" s="45">
        <f>SUM(F27:F41)</f>
        <v>14098.444444444443</v>
      </c>
      <c r="G42" s="45"/>
      <c r="H42" s="115">
        <f t="shared" si="15"/>
        <v>1948.2000000000003</v>
      </c>
      <c r="I42" s="115">
        <f t="shared" si="15"/>
        <v>165710</v>
      </c>
      <c r="J42" s="116">
        <f t="shared" si="15"/>
        <v>13809.166666666662</v>
      </c>
      <c r="K42" s="104"/>
    </row>
    <row r="43" spans="1:14" x14ac:dyDescent="0.25">
      <c r="A43" s="44"/>
      <c r="B43" s="44"/>
      <c r="C43" s="45"/>
      <c r="D43" s="45"/>
      <c r="E43" s="45"/>
      <c r="F43" s="45"/>
      <c r="G43" s="45"/>
      <c r="H43" s="115"/>
      <c r="I43" s="115"/>
      <c r="J43" s="116"/>
      <c r="K43" s="104"/>
    </row>
    <row r="44" spans="1:14" x14ac:dyDescent="0.25">
      <c r="A44" s="75" t="s">
        <v>450</v>
      </c>
      <c r="B44" s="44"/>
      <c r="C44" s="45"/>
      <c r="D44" s="45"/>
      <c r="E44" s="45"/>
      <c r="F44" s="45"/>
      <c r="G44" s="45"/>
      <c r="H44" s="115"/>
      <c r="I44" s="115"/>
      <c r="J44" s="116"/>
      <c r="K44" s="104"/>
    </row>
    <row r="45" spans="1:14" x14ac:dyDescent="0.25">
      <c r="A45" s="44" t="s">
        <v>220</v>
      </c>
      <c r="B45" s="44">
        <v>3</v>
      </c>
      <c r="C45" s="45">
        <f>SUM('[2]2014'!C25:E25)+51</f>
        <v>30279.82</v>
      </c>
      <c r="D45" s="45">
        <v>9460</v>
      </c>
      <c r="E45" s="45">
        <v>6770</v>
      </c>
      <c r="F45" s="45">
        <f>E45/9</f>
        <v>752.22222222222217</v>
      </c>
      <c r="G45" s="45"/>
      <c r="H45" s="115">
        <f>D45*$N$45</f>
        <v>0</v>
      </c>
      <c r="I45" s="115">
        <v>9090</v>
      </c>
      <c r="J45" s="116">
        <f t="shared" si="2"/>
        <v>757.5</v>
      </c>
      <c r="K45" s="101" t="s">
        <v>501</v>
      </c>
      <c r="L45">
        <f t="shared" ref="L45" si="16">SUM(E45)+(F45*3)*1.03</f>
        <v>9094.3666666666668</v>
      </c>
      <c r="N45" s="31"/>
    </row>
    <row r="46" spans="1:14" x14ac:dyDescent="0.25">
      <c r="A46" s="44" t="s">
        <v>47</v>
      </c>
      <c r="B46" s="44">
        <v>3</v>
      </c>
      <c r="C46" s="45">
        <f>SUM('[2]2014'!C26:E26)-4</f>
        <v>61771.069999999992</v>
      </c>
      <c r="D46" s="45">
        <v>21320</v>
      </c>
      <c r="E46" s="45">
        <v>16620</v>
      </c>
      <c r="F46" s="45">
        <f t="shared" ref="F46:F47" si="17">E46/9</f>
        <v>1846.6666666666667</v>
      </c>
      <c r="G46" s="45"/>
      <c r="H46" s="115">
        <f>D46*$N$46</f>
        <v>0</v>
      </c>
      <c r="I46" s="115">
        <v>22600</v>
      </c>
      <c r="J46" s="116">
        <f t="shared" si="2"/>
        <v>1883.3333333333333</v>
      </c>
      <c r="K46" s="101" t="s">
        <v>610</v>
      </c>
      <c r="L46">
        <f>SUM(E46)+(F46*3)*1.08</f>
        <v>22603.200000000001</v>
      </c>
      <c r="N46" s="31"/>
    </row>
    <row r="47" spans="1:14" x14ac:dyDescent="0.25">
      <c r="A47" s="44" t="s">
        <v>48</v>
      </c>
      <c r="B47" s="44">
        <v>3</v>
      </c>
      <c r="C47" s="45">
        <f>SUM('[2]2014'!C27:E27)-4</f>
        <v>94767.42</v>
      </c>
      <c r="D47" s="45">
        <v>30690</v>
      </c>
      <c r="E47" s="45">
        <v>14253</v>
      </c>
      <c r="F47" s="45">
        <f t="shared" si="17"/>
        <v>1583.6666666666667</v>
      </c>
      <c r="G47" s="45"/>
      <c r="H47" s="115">
        <f>D47*$N$47</f>
        <v>0</v>
      </c>
      <c r="I47" s="115">
        <v>19190</v>
      </c>
      <c r="J47" s="116">
        <f t="shared" si="2"/>
        <v>1599.1666666666667</v>
      </c>
      <c r="K47" s="101" t="s">
        <v>533</v>
      </c>
      <c r="L47">
        <f t="shared" ref="L47" si="18">SUM(E47)+(F47*3)*1.04</f>
        <v>19194.04</v>
      </c>
      <c r="N47" s="31"/>
    </row>
    <row r="48" spans="1:14" x14ac:dyDescent="0.25">
      <c r="A48" s="44" t="s">
        <v>49</v>
      </c>
      <c r="B48" s="44">
        <v>3</v>
      </c>
      <c r="C48" s="52">
        <f>SUM('[2]2014'!C28:E28)+13</f>
        <v>76315.02</v>
      </c>
      <c r="D48" s="52">
        <v>25900</v>
      </c>
      <c r="E48" s="52">
        <v>20471</v>
      </c>
      <c r="F48" s="52">
        <f>E48/9</f>
        <v>2274.5555555555557</v>
      </c>
      <c r="G48" s="52"/>
      <c r="H48" s="142">
        <f>D48*$N$48</f>
        <v>0</v>
      </c>
      <c r="I48" s="142">
        <v>27640</v>
      </c>
      <c r="J48" s="120">
        <f t="shared" si="2"/>
        <v>2303.3333333333335</v>
      </c>
      <c r="K48" s="101" t="s">
        <v>585</v>
      </c>
      <c r="L48">
        <f>SUM(E48)+(F48*3)*1.05</f>
        <v>27635.85</v>
      </c>
      <c r="N48" s="31"/>
    </row>
    <row r="49" spans="1:18" x14ac:dyDescent="0.25">
      <c r="A49" s="75" t="s">
        <v>301</v>
      </c>
      <c r="B49" s="44"/>
      <c r="C49" s="45">
        <f>SUM(C45:C48)</f>
        <v>263133.33</v>
      </c>
      <c r="D49" s="45">
        <f>SUM(D45:D48)</f>
        <v>87370</v>
      </c>
      <c r="E49" s="45">
        <f>SUM(E45:E48)</f>
        <v>58114</v>
      </c>
      <c r="F49" s="45">
        <f>SUM(F45:F48)</f>
        <v>6457.1111111111113</v>
      </c>
      <c r="G49" s="45"/>
      <c r="H49" s="115">
        <f>SUM(H45:H48)</f>
        <v>0</v>
      </c>
      <c r="I49" s="115">
        <f>SUM(I45:I48)</f>
        <v>78520</v>
      </c>
      <c r="J49" s="116">
        <f t="shared" si="2"/>
        <v>6543.333333333333</v>
      </c>
      <c r="K49" s="101"/>
    </row>
    <row r="50" spans="1:18" x14ac:dyDescent="0.25">
      <c r="A50" s="44"/>
      <c r="B50" s="44"/>
      <c r="C50" s="45"/>
      <c r="D50" s="45"/>
      <c r="E50" s="45"/>
      <c r="F50" s="45"/>
      <c r="G50" s="45"/>
      <c r="H50" s="115"/>
      <c r="I50" s="115"/>
      <c r="J50" s="116"/>
      <c r="K50" s="101"/>
    </row>
    <row r="51" spans="1:18" x14ac:dyDescent="0.25">
      <c r="A51" s="75" t="s">
        <v>451</v>
      </c>
      <c r="B51" s="44"/>
      <c r="C51" s="45"/>
      <c r="D51" s="45"/>
      <c r="E51" s="45"/>
      <c r="F51" s="45"/>
      <c r="G51" s="45"/>
      <c r="H51" s="115"/>
      <c r="I51" s="115"/>
      <c r="J51" s="116"/>
      <c r="K51" s="101"/>
    </row>
    <row r="52" spans="1:18" x14ac:dyDescent="0.25">
      <c r="A52" s="44" t="s">
        <v>50</v>
      </c>
      <c r="B52" s="44">
        <v>3</v>
      </c>
      <c r="C52" s="45">
        <f>SUM('[2]2014'!C29:E29)-4</f>
        <v>932.34999999999991</v>
      </c>
      <c r="D52" s="45">
        <v>270</v>
      </c>
      <c r="E52" s="45">
        <v>192</v>
      </c>
      <c r="F52" s="45">
        <f>E52/9</f>
        <v>21.333333333333332</v>
      </c>
      <c r="G52" s="45"/>
      <c r="H52" s="115">
        <f t="shared" ref="H52:H65" si="19">D52*$N$9</f>
        <v>8.1</v>
      </c>
      <c r="I52" s="115">
        <v>260</v>
      </c>
      <c r="J52" s="116">
        <f t="shared" si="2"/>
        <v>21.666666666666668</v>
      </c>
      <c r="K52" s="104"/>
      <c r="L52">
        <f t="shared" ref="L52:L65" si="20">SUM(E52)+(F52*3)*1.03</f>
        <v>257.92</v>
      </c>
    </row>
    <row r="53" spans="1:18" x14ac:dyDescent="0.25">
      <c r="A53" s="44" t="s">
        <v>51</v>
      </c>
      <c r="B53" s="44">
        <v>3</v>
      </c>
      <c r="C53" s="45">
        <f>SUM('[2]2014'!C30:E30)-6</f>
        <v>79952</v>
      </c>
      <c r="D53" s="45">
        <v>27430</v>
      </c>
      <c r="E53" s="45">
        <v>23011</v>
      </c>
      <c r="F53" s="45">
        <f t="shared" ref="F53:F64" si="21">E53/9</f>
        <v>2556.7777777777778</v>
      </c>
      <c r="G53" s="45"/>
      <c r="H53" s="115">
        <f t="shared" si="19"/>
        <v>822.9</v>
      </c>
      <c r="I53" s="115">
        <v>30910</v>
      </c>
      <c r="J53" s="116">
        <f t="shared" si="2"/>
        <v>2575.8333333333335</v>
      </c>
      <c r="K53" s="104"/>
      <c r="L53">
        <f t="shared" si="20"/>
        <v>30911.443333333336</v>
      </c>
    </row>
    <row r="54" spans="1:18" x14ac:dyDescent="0.25">
      <c r="A54" s="44" t="s">
        <v>302</v>
      </c>
      <c r="B54" s="44">
        <v>3</v>
      </c>
      <c r="C54" s="45">
        <f>SUM('[2]2014'!C31:E31)+4</f>
        <v>4456</v>
      </c>
      <c r="D54" s="45">
        <v>840</v>
      </c>
      <c r="E54" s="45">
        <v>2388</v>
      </c>
      <c r="F54" s="45">
        <f t="shared" si="21"/>
        <v>265.33333333333331</v>
      </c>
      <c r="G54" s="45"/>
      <c r="H54" s="86">
        <f t="shared" si="19"/>
        <v>25.2</v>
      </c>
      <c r="I54" s="86">
        <v>2280</v>
      </c>
      <c r="J54" s="88">
        <f t="shared" si="2"/>
        <v>190</v>
      </c>
      <c r="K54" s="101" t="s">
        <v>608</v>
      </c>
      <c r="L54">
        <f t="shared" si="20"/>
        <v>3207.88</v>
      </c>
    </row>
    <row r="55" spans="1:18" x14ac:dyDescent="0.25">
      <c r="A55" s="44" t="s">
        <v>53</v>
      </c>
      <c r="B55" s="44">
        <v>3</v>
      </c>
      <c r="C55" s="45">
        <f>SUM('[2]2014'!C32:E32)-8</f>
        <v>16602.45</v>
      </c>
      <c r="D55" s="45">
        <v>7030</v>
      </c>
      <c r="E55" s="45">
        <v>4888</v>
      </c>
      <c r="F55" s="45">
        <f t="shared" si="21"/>
        <v>543.11111111111109</v>
      </c>
      <c r="G55" s="45"/>
      <c r="H55" s="86">
        <f t="shared" si="19"/>
        <v>210.9</v>
      </c>
      <c r="I55" s="86">
        <v>6580</v>
      </c>
      <c r="J55" s="88">
        <f t="shared" si="2"/>
        <v>548.33333333333337</v>
      </c>
      <c r="K55" s="101" t="s">
        <v>542</v>
      </c>
      <c r="L55">
        <f>SUM(E55)+(F55*3)*1.04</f>
        <v>6582.5066666666662</v>
      </c>
    </row>
    <row r="56" spans="1:18" x14ac:dyDescent="0.25">
      <c r="A56" s="44" t="s">
        <v>303</v>
      </c>
      <c r="B56" s="44">
        <v>3</v>
      </c>
      <c r="C56" s="45">
        <f>SUM('[2]2014'!C33:E33)+14</f>
        <v>5475.5300000000007</v>
      </c>
      <c r="D56" s="45">
        <v>6500</v>
      </c>
      <c r="E56" s="45">
        <v>2440</v>
      </c>
      <c r="F56" s="45">
        <f t="shared" si="21"/>
        <v>271.11111111111109</v>
      </c>
      <c r="G56" s="45"/>
      <c r="H56" s="115">
        <f t="shared" si="19"/>
        <v>195</v>
      </c>
      <c r="I56" s="115">
        <v>3280</v>
      </c>
      <c r="J56" s="116">
        <f t="shared" si="2"/>
        <v>273.33333333333331</v>
      </c>
      <c r="K56" s="101"/>
      <c r="L56">
        <f t="shared" si="20"/>
        <v>3277.7333333333331</v>
      </c>
    </row>
    <row r="57" spans="1:18" x14ac:dyDescent="0.25">
      <c r="A57" s="44" t="s">
        <v>304</v>
      </c>
      <c r="B57" s="44">
        <v>3</v>
      </c>
      <c r="C57" s="45">
        <f>SUM('[2]2014'!C34:E34)-7</f>
        <v>17068</v>
      </c>
      <c r="D57" s="45">
        <v>3770</v>
      </c>
      <c r="E57" s="45">
        <v>2151</v>
      </c>
      <c r="F57" s="45">
        <f t="shared" si="21"/>
        <v>239</v>
      </c>
      <c r="G57" s="45"/>
      <c r="H57" s="115">
        <f t="shared" si="19"/>
        <v>113.1</v>
      </c>
      <c r="I57" s="115">
        <v>2890</v>
      </c>
      <c r="J57" s="116">
        <f t="shared" si="2"/>
        <v>240.83333333333334</v>
      </c>
      <c r="K57" s="104"/>
      <c r="L57">
        <f t="shared" si="20"/>
        <v>2889.51</v>
      </c>
    </row>
    <row r="58" spans="1:18" x14ac:dyDescent="0.25">
      <c r="A58" s="44" t="s">
        <v>305</v>
      </c>
      <c r="B58" s="44">
        <v>3</v>
      </c>
      <c r="C58" s="45">
        <f>SUM('[2]2014'!C35:E35)-10</f>
        <v>29854.35</v>
      </c>
      <c r="D58" s="45">
        <v>13180</v>
      </c>
      <c r="E58" s="45">
        <v>10673</v>
      </c>
      <c r="F58" s="45">
        <f t="shared" si="21"/>
        <v>1185.8888888888889</v>
      </c>
      <c r="G58" s="45"/>
      <c r="H58" s="115">
        <f t="shared" si="19"/>
        <v>395.4</v>
      </c>
      <c r="I58" s="115">
        <v>14340</v>
      </c>
      <c r="J58" s="116">
        <f t="shared" si="2"/>
        <v>1195</v>
      </c>
      <c r="K58" s="104"/>
      <c r="L58">
        <f t="shared" si="20"/>
        <v>14337.396666666667</v>
      </c>
    </row>
    <row r="59" spans="1:18" x14ac:dyDescent="0.25">
      <c r="A59" s="44" t="s">
        <v>56</v>
      </c>
      <c r="B59" s="44">
        <v>3</v>
      </c>
      <c r="C59" s="45">
        <f>SUM('[2]2014'!C36:E36)+10</f>
        <v>192524.79</v>
      </c>
      <c r="D59" s="45">
        <v>57100</v>
      </c>
      <c r="E59" s="45">
        <v>55939</v>
      </c>
      <c r="F59" s="45">
        <f t="shared" si="21"/>
        <v>6215.4444444444443</v>
      </c>
      <c r="G59" s="45"/>
      <c r="H59" s="115">
        <v>0</v>
      </c>
      <c r="I59" s="115">
        <v>75140</v>
      </c>
      <c r="J59" s="116">
        <f t="shared" si="2"/>
        <v>6261.666666666667</v>
      </c>
      <c r="K59" s="101"/>
      <c r="L59">
        <f t="shared" si="20"/>
        <v>75144.723333333328</v>
      </c>
    </row>
    <row r="60" spans="1:18" x14ac:dyDescent="0.25">
      <c r="A60" s="44" t="s">
        <v>248</v>
      </c>
      <c r="B60" s="44">
        <v>3</v>
      </c>
      <c r="C60" s="45">
        <f>SUM('[2]2014'!C37:E37)+4</f>
        <v>68505.240000000005</v>
      </c>
      <c r="D60" s="45">
        <v>25530</v>
      </c>
      <c r="E60" s="45">
        <v>18294</v>
      </c>
      <c r="F60" s="45">
        <f t="shared" si="21"/>
        <v>2032.6666666666667</v>
      </c>
      <c r="G60" s="45"/>
      <c r="H60" s="115">
        <f t="shared" si="19"/>
        <v>765.9</v>
      </c>
      <c r="I60" s="115">
        <v>24580</v>
      </c>
      <c r="J60" s="116">
        <f t="shared" si="2"/>
        <v>2048.3333333333335</v>
      </c>
      <c r="K60" s="101"/>
      <c r="L60">
        <f t="shared" si="20"/>
        <v>24574.940000000002</v>
      </c>
    </row>
    <row r="61" spans="1:18" x14ac:dyDescent="0.25">
      <c r="A61" s="44" t="s">
        <v>55</v>
      </c>
      <c r="B61" s="44">
        <v>3</v>
      </c>
      <c r="C61" s="45">
        <f>SUM('[2]2014'!C38:E38)-4</f>
        <v>106076.56</v>
      </c>
      <c r="D61" s="45">
        <v>50910</v>
      </c>
      <c r="E61" s="45">
        <v>30033</v>
      </c>
      <c r="F61" s="45">
        <f t="shared" si="21"/>
        <v>3337</v>
      </c>
      <c r="G61" s="45"/>
      <c r="H61" s="115">
        <v>0</v>
      </c>
      <c r="I61" s="115">
        <v>40340</v>
      </c>
      <c r="J61" s="116">
        <f t="shared" si="2"/>
        <v>3361.6666666666665</v>
      </c>
      <c r="K61" s="104"/>
      <c r="L61">
        <f t="shared" si="20"/>
        <v>40344.33</v>
      </c>
    </row>
    <row r="62" spans="1:18" x14ac:dyDescent="0.25">
      <c r="A62" s="44" t="s">
        <v>496</v>
      </c>
      <c r="B62" s="44"/>
      <c r="C62" s="118"/>
      <c r="D62" s="45">
        <v>3000</v>
      </c>
      <c r="E62" s="46">
        <v>16184</v>
      </c>
      <c r="F62" s="46">
        <f t="shared" si="21"/>
        <v>1798.2222222222222</v>
      </c>
      <c r="G62" s="46"/>
      <c r="H62" s="57">
        <v>0</v>
      </c>
      <c r="I62" s="57">
        <v>21740</v>
      </c>
      <c r="J62" s="58">
        <f t="shared" si="2"/>
        <v>1811.6666666666667</v>
      </c>
      <c r="K62" s="101"/>
      <c r="L62">
        <f t="shared" si="20"/>
        <v>21740.506666666668</v>
      </c>
      <c r="M62" s="104"/>
      <c r="N62" s="104"/>
      <c r="O62" s="104"/>
      <c r="P62" s="104"/>
      <c r="Q62" s="104"/>
      <c r="R62" s="104"/>
    </row>
    <row r="63" spans="1:18" x14ac:dyDescent="0.25">
      <c r="A63" s="44" t="s">
        <v>497</v>
      </c>
      <c r="B63" s="44"/>
      <c r="C63" s="118"/>
      <c r="D63" s="45">
        <v>9000</v>
      </c>
      <c r="E63" s="46">
        <v>10738</v>
      </c>
      <c r="F63" s="46">
        <f t="shared" si="21"/>
        <v>1193.1111111111111</v>
      </c>
      <c r="G63" s="46"/>
      <c r="H63" s="57">
        <v>0</v>
      </c>
      <c r="I63" s="57">
        <v>14420</v>
      </c>
      <c r="J63" s="58">
        <f t="shared" si="2"/>
        <v>1201.6666666666667</v>
      </c>
      <c r="K63" s="101"/>
      <c r="L63">
        <f t="shared" si="20"/>
        <v>14424.713333333333</v>
      </c>
      <c r="M63" s="104"/>
      <c r="N63" s="104"/>
      <c r="O63" s="104"/>
      <c r="P63" s="104"/>
      <c r="Q63" s="104"/>
      <c r="R63" s="104"/>
    </row>
    <row r="64" spans="1:18" x14ac:dyDescent="0.25">
      <c r="A64" s="44" t="s">
        <v>551</v>
      </c>
      <c r="B64" s="44"/>
      <c r="C64" s="118"/>
      <c r="D64" s="45">
        <v>4000</v>
      </c>
      <c r="E64" s="46">
        <v>0</v>
      </c>
      <c r="F64" s="46">
        <f t="shared" si="21"/>
        <v>0</v>
      </c>
      <c r="G64" s="46"/>
      <c r="H64" s="57"/>
      <c r="I64" s="57">
        <v>4000</v>
      </c>
      <c r="J64" s="58">
        <f t="shared" si="2"/>
        <v>333.33333333333331</v>
      </c>
      <c r="K64" s="101"/>
      <c r="L64">
        <f t="shared" si="20"/>
        <v>0</v>
      </c>
      <c r="M64" s="104"/>
      <c r="N64" s="104"/>
      <c r="O64" s="104"/>
      <c r="P64" s="104"/>
      <c r="Q64" s="104"/>
      <c r="R64" s="104"/>
    </row>
    <row r="65" spans="1:14" x14ac:dyDescent="0.25">
      <c r="A65" s="44" t="s">
        <v>57</v>
      </c>
      <c r="B65" s="44">
        <v>3</v>
      </c>
      <c r="C65" s="52">
        <f>SUM('[2]2014'!C39:E39)-2</f>
        <v>38971.240000000005</v>
      </c>
      <c r="D65" s="52">
        <v>12170</v>
      </c>
      <c r="E65" s="52">
        <v>9158</v>
      </c>
      <c r="F65" s="52">
        <f>E65/9</f>
        <v>1017.5555555555555</v>
      </c>
      <c r="G65" s="52"/>
      <c r="H65" s="142">
        <f t="shared" si="19"/>
        <v>365.09999999999997</v>
      </c>
      <c r="I65" s="142">
        <v>13170</v>
      </c>
      <c r="J65" s="120">
        <f t="shared" si="2"/>
        <v>1097.5</v>
      </c>
      <c r="K65" s="101" t="s">
        <v>600</v>
      </c>
      <c r="L65">
        <f t="shared" si="20"/>
        <v>12302.246666666666</v>
      </c>
    </row>
    <row r="66" spans="1:14" x14ac:dyDescent="0.25">
      <c r="A66" s="75" t="s">
        <v>84</v>
      </c>
      <c r="B66" s="44"/>
      <c r="C66" s="45">
        <f>SUM(C52:C65)</f>
        <v>560418.51</v>
      </c>
      <c r="D66" s="45">
        <f>SUM(D52:D65)</f>
        <v>220730</v>
      </c>
      <c r="E66" s="45">
        <f>SUM(E52:E65)</f>
        <v>186089</v>
      </c>
      <c r="F66" s="45">
        <f>SUM(F52:F65)</f>
        <v>20676.555555555551</v>
      </c>
      <c r="G66" s="45"/>
      <c r="H66" s="115">
        <f>SUM(H52:H65)</f>
        <v>2901.6</v>
      </c>
      <c r="I66" s="115">
        <f>SUM(I52:I65)</f>
        <v>253930</v>
      </c>
      <c r="J66" s="116">
        <f t="shared" si="2"/>
        <v>21160.833333333332</v>
      </c>
      <c r="K66" s="104"/>
    </row>
    <row r="67" spans="1:14" x14ac:dyDescent="0.25">
      <c r="A67" s="44"/>
      <c r="B67" s="44"/>
      <c r="C67" s="45"/>
      <c r="D67" s="45"/>
      <c r="E67" s="45"/>
      <c r="F67" s="45"/>
      <c r="G67" s="45"/>
      <c r="H67" s="115"/>
      <c r="I67" s="115"/>
      <c r="J67" s="116"/>
      <c r="K67" s="104"/>
    </row>
    <row r="68" spans="1:14" x14ac:dyDescent="0.25">
      <c r="A68" s="75" t="s">
        <v>452</v>
      </c>
      <c r="B68" s="44"/>
      <c r="C68" s="45"/>
      <c r="D68" s="45"/>
      <c r="E68" s="45"/>
      <c r="F68" s="45"/>
      <c r="G68" s="45"/>
      <c r="H68" s="115"/>
      <c r="I68" s="115"/>
      <c r="J68" s="116"/>
      <c r="K68" s="104"/>
    </row>
    <row r="69" spans="1:14" x14ac:dyDescent="0.25">
      <c r="A69" s="44" t="s">
        <v>42</v>
      </c>
      <c r="B69" s="44">
        <v>3</v>
      </c>
      <c r="C69" s="45">
        <f>SUM('[2]2014'!C41:E41)+17</f>
        <v>15075.98</v>
      </c>
      <c r="D69" s="45">
        <v>10280</v>
      </c>
      <c r="E69" s="45">
        <v>9314</v>
      </c>
      <c r="F69" s="45">
        <f>E69/9</f>
        <v>1034.8888888888889</v>
      </c>
      <c r="G69" s="45"/>
      <c r="H69" s="115">
        <v>0</v>
      </c>
      <c r="I69" s="115">
        <v>13330</v>
      </c>
      <c r="J69" s="116">
        <f t="shared" si="2"/>
        <v>1110.8333333333333</v>
      </c>
      <c r="K69" s="101" t="s">
        <v>425</v>
      </c>
      <c r="L69">
        <f>SUM($I$28+$I$33+$I$59)*7.65%</f>
        <v>12325.68</v>
      </c>
      <c r="N69" s="34">
        <v>7.6499999999999999E-2</v>
      </c>
    </row>
    <row r="70" spans="1:14" x14ac:dyDescent="0.25">
      <c r="A70" s="44" t="s">
        <v>306</v>
      </c>
      <c r="B70" s="44">
        <v>3</v>
      </c>
      <c r="C70" s="45">
        <f>SUM('[2]2014'!C42:E42)+23</f>
        <v>115257.5</v>
      </c>
      <c r="D70" s="45">
        <v>27460</v>
      </c>
      <c r="E70" s="45">
        <v>23104</v>
      </c>
      <c r="F70" s="45">
        <f t="shared" ref="F70:F74" si="22">E70/9</f>
        <v>2567.1111111111113</v>
      </c>
      <c r="G70" s="45"/>
      <c r="H70" s="115">
        <v>0</v>
      </c>
      <c r="I70" s="115">
        <v>23230</v>
      </c>
      <c r="J70" s="116">
        <f t="shared" si="2"/>
        <v>1935.8333333333333</v>
      </c>
      <c r="K70" s="101" t="s">
        <v>422</v>
      </c>
      <c r="L70">
        <f>SUM(E70)+(F70*3)*1.05</f>
        <v>31190.400000000001</v>
      </c>
      <c r="N70" s="31">
        <v>0.05</v>
      </c>
    </row>
    <row r="71" spans="1:14" x14ac:dyDescent="0.25">
      <c r="A71" s="44" t="s">
        <v>59</v>
      </c>
      <c r="B71" s="44">
        <v>3</v>
      </c>
      <c r="C71" s="45">
        <f>SUM('[2]2014'!C43:E43)-25145</f>
        <v>85731.44</v>
      </c>
      <c r="D71" s="45">
        <v>40320</v>
      </c>
      <c r="E71" s="45">
        <v>30685</v>
      </c>
      <c r="F71" s="45">
        <f t="shared" si="22"/>
        <v>3409.4444444444443</v>
      </c>
      <c r="G71" s="45"/>
      <c r="H71" s="115">
        <v>0</v>
      </c>
      <c r="I71" s="115">
        <v>48340</v>
      </c>
      <c r="J71" s="116">
        <f t="shared" si="2"/>
        <v>4028.3333333333335</v>
      </c>
      <c r="K71" s="101" t="s">
        <v>502</v>
      </c>
      <c r="L71">
        <f>SUM($I$28+$I$33+$I$59)*30%</f>
        <v>48336</v>
      </c>
      <c r="N71" s="31">
        <v>0.3</v>
      </c>
    </row>
    <row r="72" spans="1:14" x14ac:dyDescent="0.25">
      <c r="A72" s="44" t="s">
        <v>225</v>
      </c>
      <c r="B72" s="44">
        <v>3</v>
      </c>
      <c r="C72" s="45">
        <f>SUM('[2]2014'!C44:E44)-4</f>
        <v>2825.88</v>
      </c>
      <c r="D72" s="45">
        <v>3480</v>
      </c>
      <c r="E72" s="45">
        <v>4171</v>
      </c>
      <c r="F72" s="45">
        <f t="shared" si="22"/>
        <v>463.44444444444446</v>
      </c>
      <c r="G72" s="45"/>
      <c r="H72" s="115">
        <f>D72*$N$9</f>
        <v>104.39999999999999</v>
      </c>
      <c r="I72" s="115">
        <v>4830</v>
      </c>
      <c r="J72" s="116">
        <f t="shared" si="2"/>
        <v>402.5</v>
      </c>
      <c r="K72" s="101" t="s">
        <v>543</v>
      </c>
      <c r="L72">
        <f>SUM($I$28+$I$33+$I$59)*3%</f>
        <v>4833.5999999999995</v>
      </c>
    </row>
    <row r="73" spans="1:14" x14ac:dyDescent="0.25">
      <c r="A73" s="44" t="s">
        <v>61</v>
      </c>
      <c r="B73" s="44">
        <v>3</v>
      </c>
      <c r="C73" s="45">
        <f>SUM('[2]2014'!C46:E46)-4</f>
        <v>49630.159999999996</v>
      </c>
      <c r="D73" s="45">
        <v>4510</v>
      </c>
      <c r="E73" s="45">
        <v>10663</v>
      </c>
      <c r="F73" s="45">
        <f t="shared" si="22"/>
        <v>1184.7777777777778</v>
      </c>
      <c r="G73" s="45"/>
      <c r="H73" s="115">
        <f>D73*$N$9</f>
        <v>135.29999999999998</v>
      </c>
      <c r="I73" s="115">
        <v>14320</v>
      </c>
      <c r="J73" s="116">
        <f t="shared" si="2"/>
        <v>1193.3333333333333</v>
      </c>
      <c r="K73" s="101" t="s">
        <v>565</v>
      </c>
      <c r="L73">
        <f t="shared" ref="L73:L74" si="23">SUM(E73)+(F73*3)*1.03</f>
        <v>14323.963333333333</v>
      </c>
    </row>
    <row r="74" spans="1:14" x14ac:dyDescent="0.25">
      <c r="A74" s="44" t="s">
        <v>70</v>
      </c>
      <c r="B74" s="44">
        <v>3</v>
      </c>
      <c r="C74" s="45">
        <f>SUM('[2]2014'!C47:E47)-10</f>
        <v>10630.98</v>
      </c>
      <c r="D74" s="45">
        <v>370</v>
      </c>
      <c r="E74" s="45">
        <v>7070</v>
      </c>
      <c r="F74" s="45">
        <f t="shared" si="22"/>
        <v>785.55555555555554</v>
      </c>
      <c r="G74" s="45"/>
      <c r="H74" s="115">
        <f>D74*$N$9</f>
        <v>11.1</v>
      </c>
      <c r="I74" s="115">
        <v>560</v>
      </c>
      <c r="J74" s="116">
        <f t="shared" si="2"/>
        <v>46.666666666666664</v>
      </c>
      <c r="K74" s="104"/>
      <c r="L74">
        <f t="shared" si="23"/>
        <v>9497.3666666666668</v>
      </c>
    </row>
    <row r="75" spans="1:14" x14ac:dyDescent="0.25">
      <c r="A75" s="44" t="s">
        <v>62</v>
      </c>
      <c r="B75" s="44">
        <v>3</v>
      </c>
      <c r="C75" s="52">
        <f>SUM('[2]2014'!C49:E49)-10</f>
        <v>403339.47</v>
      </c>
      <c r="D75" s="52">
        <v>150680</v>
      </c>
      <c r="E75" s="52">
        <v>109824</v>
      </c>
      <c r="F75" s="52">
        <f>E75/9</f>
        <v>12202.666666666666</v>
      </c>
      <c r="G75" s="52"/>
      <c r="H75" s="142">
        <v>0</v>
      </c>
      <c r="I75" s="142">
        <v>146430</v>
      </c>
      <c r="J75" s="120">
        <f t="shared" si="2"/>
        <v>12202.5</v>
      </c>
      <c r="K75" s="101" t="s">
        <v>350</v>
      </c>
    </row>
    <row r="76" spans="1:14" x14ac:dyDescent="0.25">
      <c r="A76" s="75" t="s">
        <v>85</v>
      </c>
      <c r="B76" s="44"/>
      <c r="C76" s="45">
        <f t="shared" ref="C76:J76" si="24">SUM(C69:C75)</f>
        <v>682491.40999999992</v>
      </c>
      <c r="D76" s="45">
        <f t="shared" si="24"/>
        <v>237100</v>
      </c>
      <c r="E76" s="45">
        <f t="shared" si="24"/>
        <v>194831</v>
      </c>
      <c r="F76" s="45">
        <f>SUM(F69:F75)</f>
        <v>21647.888888888887</v>
      </c>
      <c r="G76" s="45"/>
      <c r="H76" s="115">
        <f t="shared" si="24"/>
        <v>250.79999999999998</v>
      </c>
      <c r="I76" s="115">
        <f t="shared" si="24"/>
        <v>251040</v>
      </c>
      <c r="J76" s="116">
        <f t="shared" si="24"/>
        <v>20920</v>
      </c>
      <c r="K76" s="104"/>
    </row>
    <row r="77" spans="1:14" x14ac:dyDescent="0.25">
      <c r="A77" s="44"/>
      <c r="B77" s="44"/>
      <c r="C77" s="45"/>
      <c r="D77" s="45"/>
      <c r="E77" s="45"/>
      <c r="F77" s="45"/>
      <c r="G77" s="45"/>
      <c r="H77" s="115"/>
      <c r="I77" s="115"/>
      <c r="J77" s="116"/>
      <c r="K77" s="104"/>
    </row>
    <row r="78" spans="1:14" x14ac:dyDescent="0.25">
      <c r="A78" s="75" t="s">
        <v>454</v>
      </c>
      <c r="B78" s="44"/>
      <c r="C78" s="45"/>
      <c r="D78" s="45"/>
      <c r="E78" s="45"/>
      <c r="F78" s="45"/>
      <c r="G78" s="45"/>
      <c r="H78" s="115"/>
      <c r="I78" s="115"/>
      <c r="J78" s="116"/>
      <c r="K78" s="104"/>
    </row>
    <row r="79" spans="1:14" x14ac:dyDescent="0.25">
      <c r="A79" s="44" t="s">
        <v>307</v>
      </c>
      <c r="B79" s="44">
        <v>3</v>
      </c>
      <c r="C79" s="45">
        <v>166750</v>
      </c>
      <c r="D79" s="45">
        <v>151158</v>
      </c>
      <c r="E79" s="45">
        <v>126264</v>
      </c>
      <c r="F79" s="45">
        <f>E79/9</f>
        <v>14029.333333333334</v>
      </c>
      <c r="G79" s="45"/>
      <c r="H79" s="115">
        <v>0</v>
      </c>
      <c r="I79" s="115">
        <v>146780</v>
      </c>
      <c r="J79" s="116">
        <f>I79/12</f>
        <v>12231.666666666666</v>
      </c>
      <c r="K79" s="101" t="s">
        <v>507</v>
      </c>
    </row>
    <row r="80" spans="1:14" x14ac:dyDescent="0.25">
      <c r="A80" s="44" t="s">
        <v>289</v>
      </c>
      <c r="B80" s="44">
        <v>3</v>
      </c>
      <c r="C80" s="52">
        <v>74650</v>
      </c>
      <c r="D80" s="52">
        <v>90242</v>
      </c>
      <c r="E80" s="52">
        <v>74903</v>
      </c>
      <c r="F80" s="52">
        <f>E80/9</f>
        <v>8322.5555555555547</v>
      </c>
      <c r="G80" s="52"/>
      <c r="H80" s="142">
        <v>0</v>
      </c>
      <c r="I80" s="142">
        <v>94620</v>
      </c>
      <c r="J80" s="120">
        <f>I80/12</f>
        <v>7885</v>
      </c>
      <c r="K80" s="101" t="s">
        <v>507</v>
      </c>
    </row>
    <row r="81" spans="1:11" x14ac:dyDescent="0.25">
      <c r="A81" s="75" t="s">
        <v>308</v>
      </c>
      <c r="B81" s="44"/>
      <c r="C81" s="45">
        <f>SUM(C79:C80)</f>
        <v>241400</v>
      </c>
      <c r="D81" s="45">
        <f>SUM(D79:D80)</f>
        <v>241400</v>
      </c>
      <c r="E81" s="45">
        <f>SUM(E79:E80)</f>
        <v>201167</v>
      </c>
      <c r="F81" s="45">
        <f>SUM(F79:F80)</f>
        <v>22351.888888888891</v>
      </c>
      <c r="G81" s="45"/>
      <c r="H81" s="115">
        <f>SUM(H79:H80)</f>
        <v>0</v>
      </c>
      <c r="I81" s="115">
        <f>SUM(I79:I80)</f>
        <v>241400</v>
      </c>
      <c r="J81" s="116">
        <f>SUM(J79:J80)</f>
        <v>20116.666666666664</v>
      </c>
      <c r="K81" s="104"/>
    </row>
    <row r="82" spans="1:11" x14ac:dyDescent="0.25">
      <c r="A82" s="75"/>
      <c r="B82" s="44"/>
      <c r="C82" s="59"/>
      <c r="D82" s="59"/>
      <c r="E82" s="59"/>
      <c r="F82" s="59"/>
      <c r="G82" s="59"/>
      <c r="H82" s="86"/>
      <c r="I82" s="80"/>
      <c r="J82" s="89"/>
      <c r="K82" s="104"/>
    </row>
    <row r="83" spans="1:11" x14ac:dyDescent="0.25">
      <c r="A83" s="75" t="s">
        <v>78</v>
      </c>
      <c r="B83" s="44"/>
      <c r="C83" s="59"/>
      <c r="D83" s="59"/>
      <c r="E83" s="59"/>
      <c r="F83" s="59"/>
      <c r="G83" s="59"/>
      <c r="H83" s="86"/>
      <c r="I83" s="80"/>
      <c r="J83" s="89"/>
      <c r="K83" s="104"/>
    </row>
    <row r="84" spans="1:11" x14ac:dyDescent="0.25">
      <c r="A84" s="44" t="s">
        <v>309</v>
      </c>
      <c r="B84" s="44">
        <v>3</v>
      </c>
      <c r="C84" s="52">
        <f>SUM('[2]2014'!C50:E50)</f>
        <v>94513.81</v>
      </c>
      <c r="D84" s="52">
        <v>31500</v>
      </c>
      <c r="E84" s="52">
        <v>23625</v>
      </c>
      <c r="F84" s="52">
        <f>E84/9</f>
        <v>2625</v>
      </c>
      <c r="G84" s="52"/>
      <c r="H84" s="142">
        <v>0</v>
      </c>
      <c r="I84" s="142">
        <f t="shared" ref="I84:I95" si="25">D84+H84</f>
        <v>31500</v>
      </c>
      <c r="J84" s="120">
        <f t="shared" si="2"/>
        <v>2625</v>
      </c>
      <c r="K84" s="104"/>
    </row>
    <row r="85" spans="1:11" x14ac:dyDescent="0.25">
      <c r="A85" s="75" t="s">
        <v>86</v>
      </c>
      <c r="B85" s="44"/>
      <c r="C85" s="45">
        <f t="shared" ref="C85:J85" si="26">SUM(C84:C84)</f>
        <v>94513.81</v>
      </c>
      <c r="D85" s="45">
        <f t="shared" si="26"/>
        <v>31500</v>
      </c>
      <c r="E85" s="45">
        <f t="shared" si="26"/>
        <v>23625</v>
      </c>
      <c r="F85" s="45">
        <f>SUM(F84)</f>
        <v>2625</v>
      </c>
      <c r="G85" s="45"/>
      <c r="H85" s="115">
        <f t="shared" si="26"/>
        <v>0</v>
      </c>
      <c r="I85" s="115">
        <f t="shared" si="26"/>
        <v>31500</v>
      </c>
      <c r="J85" s="116">
        <f t="shared" si="26"/>
        <v>2625</v>
      </c>
      <c r="K85" s="104"/>
    </row>
    <row r="86" spans="1:11" x14ac:dyDescent="0.25">
      <c r="A86" s="44"/>
      <c r="B86" s="44"/>
      <c r="C86" s="45"/>
      <c r="D86" s="45"/>
      <c r="E86" s="45"/>
      <c r="F86" s="45"/>
      <c r="G86" s="45"/>
      <c r="H86" s="115"/>
      <c r="I86" s="115"/>
      <c r="J86" s="116"/>
      <c r="K86" s="104"/>
    </row>
    <row r="87" spans="1:11" x14ac:dyDescent="0.25">
      <c r="A87" s="75" t="s">
        <v>453</v>
      </c>
      <c r="B87" s="44"/>
      <c r="C87" s="45"/>
      <c r="D87" s="45"/>
      <c r="E87" s="45"/>
      <c r="F87" s="45"/>
      <c r="G87" s="45"/>
      <c r="H87" s="115"/>
      <c r="I87" s="115"/>
      <c r="J87" s="116"/>
      <c r="K87" s="104"/>
    </row>
    <row r="88" spans="1:11" x14ac:dyDescent="0.25">
      <c r="A88" s="44" t="s">
        <v>310</v>
      </c>
      <c r="B88" s="44">
        <v>3</v>
      </c>
      <c r="C88" s="45">
        <f>SUM('[2]2014'!C52:E52)-6</f>
        <v>37370.31</v>
      </c>
      <c r="D88" s="45">
        <v>22000</v>
      </c>
      <c r="E88" s="45">
        <v>0</v>
      </c>
      <c r="F88" s="45">
        <f>E88/9</f>
        <v>0</v>
      </c>
      <c r="G88" s="45"/>
      <c r="H88" s="115">
        <v>0</v>
      </c>
      <c r="I88" s="115">
        <f>68000+16000</f>
        <v>84000</v>
      </c>
      <c r="J88" s="116">
        <f t="shared" si="2"/>
        <v>7000</v>
      </c>
      <c r="K88" s="152" t="s">
        <v>631</v>
      </c>
    </row>
    <row r="89" spans="1:11" hidden="1" x14ac:dyDescent="0.25">
      <c r="A89" s="44" t="s">
        <v>311</v>
      </c>
      <c r="B89" s="44">
        <v>3</v>
      </c>
      <c r="C89" s="45">
        <f>SUM('[2]2014'!C53:E53)</f>
        <v>0</v>
      </c>
      <c r="D89" s="45">
        <v>0</v>
      </c>
      <c r="E89" s="45">
        <f t="shared" ref="E89:E95" si="27">D89/12</f>
        <v>0</v>
      </c>
      <c r="F89" s="45">
        <f t="shared" ref="F89:F93" si="28">E89/9</f>
        <v>0</v>
      </c>
      <c r="G89" s="45"/>
      <c r="H89" s="115">
        <f t="shared" ref="H89:H95" si="29">D89*$N$9</f>
        <v>0</v>
      </c>
      <c r="I89" s="115">
        <v>0</v>
      </c>
      <c r="J89" s="116">
        <f t="shared" si="2"/>
        <v>0</v>
      </c>
      <c r="K89" s="104"/>
    </row>
    <row r="90" spans="1:11" x14ac:dyDescent="0.25">
      <c r="A90" s="44" t="s">
        <v>25</v>
      </c>
      <c r="B90" s="44">
        <v>3</v>
      </c>
      <c r="C90" s="45">
        <f>SUM('[2]2014'!C54:E54)+11</f>
        <v>82311</v>
      </c>
      <c r="D90" s="45">
        <v>44000</v>
      </c>
      <c r="E90" s="45">
        <v>3025</v>
      </c>
      <c r="F90" s="45">
        <f t="shared" si="28"/>
        <v>336.11111111111109</v>
      </c>
      <c r="G90" s="45"/>
      <c r="H90" s="115">
        <v>0</v>
      </c>
      <c r="I90" s="115">
        <v>44000</v>
      </c>
      <c r="J90" s="116">
        <f t="shared" si="2"/>
        <v>3666.6666666666665</v>
      </c>
      <c r="K90" s="152" t="s">
        <v>563</v>
      </c>
    </row>
    <row r="91" spans="1:11" x14ac:dyDescent="0.25">
      <c r="A91" s="44" t="s">
        <v>312</v>
      </c>
      <c r="B91" s="44">
        <v>3</v>
      </c>
      <c r="C91" s="45">
        <f>SUM('[2]2014'!C55:E55)</f>
        <v>7340.2800000000007</v>
      </c>
      <c r="D91" s="52">
        <v>0</v>
      </c>
      <c r="E91" s="52">
        <v>0</v>
      </c>
      <c r="F91" s="52">
        <f t="shared" si="28"/>
        <v>0</v>
      </c>
      <c r="G91" s="52"/>
      <c r="H91" s="142">
        <v>0</v>
      </c>
      <c r="I91" s="142">
        <v>50000</v>
      </c>
      <c r="J91" s="120">
        <f t="shared" si="2"/>
        <v>4166.666666666667</v>
      </c>
      <c r="K91" s="152" t="s">
        <v>630</v>
      </c>
    </row>
    <row r="92" spans="1:11" hidden="1" x14ac:dyDescent="0.25">
      <c r="A92" s="44" t="s">
        <v>313</v>
      </c>
      <c r="B92" s="44">
        <v>3</v>
      </c>
      <c r="C92" s="45">
        <f>SUM('[2]2014'!C56:E56)-6</f>
        <v>30261.86</v>
      </c>
      <c r="D92" s="45">
        <v>0</v>
      </c>
      <c r="E92" s="45">
        <v>0</v>
      </c>
      <c r="F92" s="45">
        <f t="shared" si="28"/>
        <v>0</v>
      </c>
      <c r="G92" s="45"/>
      <c r="H92" s="115">
        <v>0</v>
      </c>
      <c r="I92" s="115">
        <v>0</v>
      </c>
      <c r="J92" s="116">
        <f t="shared" si="2"/>
        <v>0</v>
      </c>
      <c r="K92" s="152"/>
    </row>
    <row r="93" spans="1:11" hidden="1" x14ac:dyDescent="0.25">
      <c r="A93" s="44" t="s">
        <v>64</v>
      </c>
      <c r="B93" s="44">
        <v>3</v>
      </c>
      <c r="C93" s="45">
        <f>SUM('[2]2014'!C57:E57)</f>
        <v>0</v>
      </c>
      <c r="D93" s="45">
        <v>0</v>
      </c>
      <c r="E93" s="45">
        <v>0</v>
      </c>
      <c r="F93" s="45">
        <f t="shared" si="28"/>
        <v>0</v>
      </c>
      <c r="G93" s="45"/>
      <c r="H93" s="115">
        <v>0</v>
      </c>
      <c r="I93" s="115">
        <v>0</v>
      </c>
      <c r="J93" s="116">
        <f t="shared" si="2"/>
        <v>0</v>
      </c>
      <c r="K93" s="152"/>
    </row>
    <row r="94" spans="1:11" hidden="1" x14ac:dyDescent="0.25">
      <c r="A94" s="44" t="s">
        <v>26</v>
      </c>
      <c r="B94" s="44">
        <v>3</v>
      </c>
      <c r="C94" s="45">
        <f>SUM('[2]2014'!C58:E58)+15</f>
        <v>64717.889999999992</v>
      </c>
      <c r="D94" s="52">
        <v>0</v>
      </c>
      <c r="E94" s="52">
        <v>0</v>
      </c>
      <c r="F94" s="52">
        <f>E94/9</f>
        <v>0</v>
      </c>
      <c r="G94" s="52"/>
      <c r="H94" s="142">
        <v>0</v>
      </c>
      <c r="I94" s="142">
        <v>0</v>
      </c>
      <c r="J94" s="120">
        <f t="shared" si="2"/>
        <v>0</v>
      </c>
      <c r="K94" s="104"/>
    </row>
    <row r="95" spans="1:11" hidden="1" x14ac:dyDescent="0.25">
      <c r="A95" s="44" t="s">
        <v>65</v>
      </c>
      <c r="B95" s="44">
        <v>3</v>
      </c>
      <c r="C95" s="52">
        <f>SUM('[2]2014'!C59:E59)-6</f>
        <v>2038</v>
      </c>
      <c r="D95" s="52">
        <v>0</v>
      </c>
      <c r="E95" s="52">
        <f t="shared" si="27"/>
        <v>0</v>
      </c>
      <c r="F95" s="52"/>
      <c r="G95" s="52"/>
      <c r="H95" s="142">
        <f t="shared" si="29"/>
        <v>0</v>
      </c>
      <c r="I95" s="142">
        <f t="shared" si="25"/>
        <v>0</v>
      </c>
      <c r="J95" s="120">
        <f t="shared" si="2"/>
        <v>0</v>
      </c>
      <c r="K95" s="101"/>
    </row>
    <row r="96" spans="1:11" ht="15.75" thickBot="1" x14ac:dyDescent="0.3">
      <c r="A96" s="75" t="s">
        <v>314</v>
      </c>
      <c r="B96" s="44"/>
      <c r="C96" s="45">
        <f>SUM(C88:C95)</f>
        <v>224039.34</v>
      </c>
      <c r="D96" s="45">
        <f t="shared" ref="D96:J96" si="30">SUM(D88:D95)</f>
        <v>66000</v>
      </c>
      <c r="E96" s="45">
        <f t="shared" si="30"/>
        <v>3025</v>
      </c>
      <c r="F96" s="45">
        <f>SUM(F88:F94)</f>
        <v>336.11111111111109</v>
      </c>
      <c r="G96" s="45"/>
      <c r="H96" s="97">
        <f t="shared" si="30"/>
        <v>0</v>
      </c>
      <c r="I96" s="97">
        <f t="shared" si="30"/>
        <v>178000</v>
      </c>
      <c r="J96" s="98">
        <f t="shared" si="30"/>
        <v>14833.333333333332</v>
      </c>
      <c r="K96" s="101"/>
    </row>
    <row r="97" spans="1:11" x14ac:dyDescent="0.25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</row>
  </sheetData>
  <customSheetViews>
    <customSheetView guid="{D54A66AC-88E3-46FB-AFE3-2E559F565FEB}" scale="80" hiddenRows="1" hiddenColumns="1">
      <pane xSplit="2" ySplit="4" topLeftCell="D12" activePane="bottomRight" state="frozen"/>
      <selection pane="bottomRight" activeCell="L1" sqref="L1:P1048576"/>
      <pageMargins left="0.75" right="0.75" top="1" bottom="1" header="0.5" footer="0.5"/>
      <pageSetup scale="46" fitToHeight="2" orientation="portrait" r:id="rId1"/>
      <headerFooter alignWithMargins="0"/>
    </customSheetView>
  </customSheetViews>
  <pageMargins left="0.75" right="0.75" top="1" bottom="1" header="0.5" footer="0.5"/>
  <pageSetup scale="46" fitToHeight="2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8"/>
  <sheetViews>
    <sheetView zoomScale="80" zoomScaleNormal="80" workbookViewId="0">
      <pane xSplit="3" ySplit="5" topLeftCell="D25" activePane="bottomRight" state="frozen"/>
      <selection activeCell="A180" sqref="A180"/>
      <selection pane="topRight" activeCell="A180" sqref="A180"/>
      <selection pane="bottomLeft" activeCell="A180" sqref="A180"/>
      <selection pane="bottomRight" activeCell="K46" sqref="K46"/>
    </sheetView>
  </sheetViews>
  <sheetFormatPr defaultRowHeight="15" x14ac:dyDescent="0.25"/>
  <cols>
    <col min="1" max="1" width="58.140625" bestFit="1" customWidth="1"/>
    <col min="2" max="2" width="9.140625" hidden="1" customWidth="1"/>
    <col min="3" max="3" width="11.140625" hidden="1" customWidth="1"/>
    <col min="4" max="4" width="15.7109375" customWidth="1"/>
    <col min="5" max="5" width="12.85546875" bestFit="1" customWidth="1"/>
    <col min="6" max="6" width="11.42578125" customWidth="1"/>
    <col min="7" max="7" width="3.85546875" hidden="1" customWidth="1"/>
    <col min="8" max="8" width="9.140625" hidden="1" customWidth="1"/>
    <col min="9" max="9" width="25.5703125" customWidth="1"/>
    <col min="10" max="10" width="12.85546875" bestFit="1" customWidth="1"/>
    <col min="11" max="11" width="59.42578125" customWidth="1"/>
    <col min="12" max="14" width="0" hidden="1" customWidth="1"/>
  </cols>
  <sheetData>
    <row r="1" spans="1:13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'Aspen Ridge'!I1</f>
        <v>Projected Annual Budget 2017</v>
      </c>
      <c r="J1" s="125"/>
      <c r="K1" s="108"/>
    </row>
    <row r="2" spans="1:13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1" t="s">
        <v>595</v>
      </c>
    </row>
    <row r="3" spans="1:13" ht="21" thickBot="1" x14ac:dyDescent="0.35">
      <c r="A3" s="99" t="s">
        <v>661</v>
      </c>
      <c r="B3" s="104"/>
      <c r="C3" s="104"/>
      <c r="D3" s="109"/>
      <c r="E3" s="104"/>
      <c r="F3" s="104"/>
      <c r="G3" s="104"/>
      <c r="H3" s="104"/>
      <c r="I3" s="110"/>
      <c r="J3" s="95"/>
      <c r="K3" s="101" t="s">
        <v>642</v>
      </c>
    </row>
    <row r="4" spans="1:13" s="29" customFormat="1" ht="45.75" thickBot="1" x14ac:dyDescent="0.3">
      <c r="A4" s="39" t="s">
        <v>71</v>
      </c>
      <c r="B4" s="39" t="s">
        <v>72</v>
      </c>
      <c r="C4" s="39" t="s">
        <v>73</v>
      </c>
      <c r="D4" s="40" t="str">
        <f>'Aspen Ridge'!D4</f>
        <v>2016 Annual Budget</v>
      </c>
      <c r="E4" s="40" t="str">
        <f>'Aspen Ridge'!E4</f>
        <v>YTD Actual FY 2016 @ 9/30/16</v>
      </c>
      <c r="F4" s="40" t="str">
        <f>'Aspen Ridge'!F4</f>
        <v>FY 2016 - 9 month Avg</v>
      </c>
      <c r="G4" s="153"/>
      <c r="H4" s="154"/>
      <c r="I4" s="42" t="s">
        <v>427</v>
      </c>
      <c r="J4" s="43" t="s">
        <v>428</v>
      </c>
      <c r="K4" s="155"/>
      <c r="M4" s="28" t="s">
        <v>74</v>
      </c>
    </row>
    <row r="5" spans="1:13" x14ac:dyDescent="0.25">
      <c r="A5" s="44" t="s">
        <v>315</v>
      </c>
      <c r="B5" s="156"/>
      <c r="C5" s="45">
        <f>-752337-302913</f>
        <v>-1055250</v>
      </c>
      <c r="D5" s="46">
        <v>382050</v>
      </c>
      <c r="E5" s="46">
        <v>291610</v>
      </c>
      <c r="F5" s="46">
        <f>E5/9</f>
        <v>32401.111111111109</v>
      </c>
      <c r="G5" s="46"/>
      <c r="H5" s="57">
        <v>0</v>
      </c>
      <c r="I5" s="57">
        <v>393670</v>
      </c>
      <c r="J5" s="58">
        <f>I5/12</f>
        <v>32805.833333333336</v>
      </c>
      <c r="K5" s="101" t="s">
        <v>577</v>
      </c>
      <c r="L5">
        <f>SUM(E5)+(F5*3)*1.05</f>
        <v>393673.5</v>
      </c>
      <c r="M5" s="30">
        <v>0.05</v>
      </c>
    </row>
    <row r="6" spans="1:13" x14ac:dyDescent="0.25">
      <c r="A6" s="44" t="s">
        <v>209</v>
      </c>
      <c r="B6" s="44">
        <v>3</v>
      </c>
      <c r="C6" s="45">
        <f>-50843.23-31671</f>
        <v>-82514.23000000001</v>
      </c>
      <c r="D6" s="46">
        <v>28200</v>
      </c>
      <c r="E6" s="46">
        <v>18288</v>
      </c>
      <c r="F6" s="46">
        <f t="shared" ref="F6:F12" si="0">E6/9</f>
        <v>2032</v>
      </c>
      <c r="G6" s="46"/>
      <c r="H6" s="57">
        <v>0</v>
      </c>
      <c r="I6" s="57">
        <v>24570</v>
      </c>
      <c r="J6" s="58">
        <f>I6/12</f>
        <v>2047.5</v>
      </c>
      <c r="K6" s="104"/>
      <c r="L6">
        <f t="shared" ref="L6:L13" si="1">SUM(E6)+(F6*3)*1.03</f>
        <v>24566.880000000001</v>
      </c>
      <c r="M6" s="21" t="s">
        <v>392</v>
      </c>
    </row>
    <row r="7" spans="1:13" x14ac:dyDescent="0.25">
      <c r="A7" s="44" t="s">
        <v>34</v>
      </c>
      <c r="B7" s="44">
        <v>3</v>
      </c>
      <c r="C7" s="45">
        <f>30404.54-3026</f>
        <v>27378.54</v>
      </c>
      <c r="D7" s="46">
        <v>-7640</v>
      </c>
      <c r="E7" s="46">
        <v>-3175</v>
      </c>
      <c r="F7" s="46">
        <f t="shared" si="0"/>
        <v>-352.77777777777777</v>
      </c>
      <c r="G7" s="46"/>
      <c r="H7" s="57">
        <v>0</v>
      </c>
      <c r="I7" s="57">
        <v>-7870</v>
      </c>
      <c r="J7" s="58">
        <f t="shared" ref="J7:J13" si="2">I7/12</f>
        <v>-655.83333333333337</v>
      </c>
      <c r="K7" s="104" t="s">
        <v>567</v>
      </c>
      <c r="L7">
        <f>I5*2%</f>
        <v>7873.4000000000005</v>
      </c>
      <c r="M7" s="30">
        <v>0.03</v>
      </c>
    </row>
    <row r="8" spans="1:13" x14ac:dyDescent="0.25">
      <c r="A8" s="44" t="s">
        <v>316</v>
      </c>
      <c r="B8" s="44"/>
      <c r="C8" s="45">
        <v>0</v>
      </c>
      <c r="D8" s="46">
        <v>0</v>
      </c>
      <c r="E8" s="46">
        <v>0</v>
      </c>
      <c r="F8" s="46">
        <f t="shared" si="0"/>
        <v>0</v>
      </c>
      <c r="G8" s="46"/>
      <c r="H8" s="57">
        <v>0</v>
      </c>
      <c r="I8" s="57">
        <v>0</v>
      </c>
      <c r="J8" s="58">
        <f t="shared" si="2"/>
        <v>0</v>
      </c>
      <c r="K8" s="101"/>
      <c r="L8">
        <f t="shared" si="1"/>
        <v>0</v>
      </c>
    </row>
    <row r="9" spans="1:13" x14ac:dyDescent="0.25">
      <c r="A9" s="44" t="s">
        <v>35</v>
      </c>
      <c r="B9" s="44">
        <v>3</v>
      </c>
      <c r="C9" s="45">
        <f>-176.8+1</f>
        <v>-175.8</v>
      </c>
      <c r="D9" s="46">
        <v>60</v>
      </c>
      <c r="E9" s="46">
        <v>39</v>
      </c>
      <c r="F9" s="46">
        <f t="shared" si="0"/>
        <v>4.333333333333333</v>
      </c>
      <c r="G9" s="46"/>
      <c r="H9" s="57">
        <v>0</v>
      </c>
      <c r="I9" s="57">
        <v>50</v>
      </c>
      <c r="J9" s="58">
        <f t="shared" si="2"/>
        <v>4.166666666666667</v>
      </c>
      <c r="K9" s="104"/>
      <c r="L9">
        <f t="shared" si="1"/>
        <v>52.39</v>
      </c>
    </row>
    <row r="10" spans="1:13" x14ac:dyDescent="0.25">
      <c r="A10" s="44" t="s">
        <v>36</v>
      </c>
      <c r="B10" s="44">
        <v>3</v>
      </c>
      <c r="C10" s="45">
        <f>-11948.93+1843</f>
        <v>-10105.93</v>
      </c>
      <c r="D10" s="46">
        <v>4030</v>
      </c>
      <c r="E10" s="46">
        <v>5472</v>
      </c>
      <c r="F10" s="46">
        <f t="shared" si="0"/>
        <v>608</v>
      </c>
      <c r="G10" s="46"/>
      <c r="H10" s="57">
        <v>0</v>
      </c>
      <c r="I10" s="57">
        <v>7350</v>
      </c>
      <c r="J10" s="58">
        <f t="shared" si="2"/>
        <v>612.5</v>
      </c>
      <c r="K10" s="104"/>
      <c r="L10">
        <f t="shared" si="1"/>
        <v>7350.72</v>
      </c>
    </row>
    <row r="11" spans="1:13" x14ac:dyDescent="0.25">
      <c r="A11" s="44" t="s">
        <v>37</v>
      </c>
      <c r="B11" s="44">
        <v>3</v>
      </c>
      <c r="C11" s="45">
        <f>-2898.33-103</f>
        <v>-3001.33</v>
      </c>
      <c r="D11" s="46">
        <v>2100</v>
      </c>
      <c r="E11" s="46">
        <v>1995</v>
      </c>
      <c r="F11" s="46">
        <f t="shared" si="0"/>
        <v>221.66666666666666</v>
      </c>
      <c r="G11" s="46"/>
      <c r="H11" s="57">
        <v>0</v>
      </c>
      <c r="I11" s="57">
        <v>2680</v>
      </c>
      <c r="J11" s="58">
        <f t="shared" si="2"/>
        <v>223.33333333333334</v>
      </c>
      <c r="K11" s="104"/>
      <c r="L11">
        <f t="shared" si="1"/>
        <v>2679.95</v>
      </c>
    </row>
    <row r="12" spans="1:13" x14ac:dyDescent="0.25">
      <c r="A12" s="44" t="s">
        <v>517</v>
      </c>
      <c r="B12" s="44"/>
      <c r="C12" s="45"/>
      <c r="D12" s="46">
        <v>0</v>
      </c>
      <c r="E12" s="46">
        <v>275</v>
      </c>
      <c r="F12" s="46">
        <f t="shared" si="0"/>
        <v>30.555555555555557</v>
      </c>
      <c r="G12" s="46"/>
      <c r="H12" s="57"/>
      <c r="I12" s="57">
        <v>370</v>
      </c>
      <c r="J12" s="58">
        <f t="shared" si="2"/>
        <v>30.833333333333332</v>
      </c>
      <c r="K12" s="104"/>
      <c r="L12">
        <f t="shared" si="1"/>
        <v>369.41666666666669</v>
      </c>
    </row>
    <row r="13" spans="1:13" x14ac:dyDescent="0.25">
      <c r="A13" s="44" t="s">
        <v>212</v>
      </c>
      <c r="B13" s="44">
        <v>3</v>
      </c>
      <c r="C13" s="52">
        <f>-4986.55+153</f>
        <v>-4833.55</v>
      </c>
      <c r="D13" s="53">
        <v>3030</v>
      </c>
      <c r="E13" s="53">
        <v>3614</v>
      </c>
      <c r="F13" s="53">
        <f>E13/9</f>
        <v>401.55555555555554</v>
      </c>
      <c r="G13" s="53"/>
      <c r="H13" s="137">
        <v>0</v>
      </c>
      <c r="I13" s="137">
        <v>4850</v>
      </c>
      <c r="J13" s="157">
        <f t="shared" si="2"/>
        <v>404.16666666666669</v>
      </c>
      <c r="K13" s="104"/>
      <c r="L13">
        <f t="shared" si="1"/>
        <v>4854.8066666666664</v>
      </c>
    </row>
    <row r="14" spans="1:13" x14ac:dyDescent="0.25">
      <c r="A14" s="75" t="s">
        <v>75</v>
      </c>
      <c r="B14" s="44"/>
      <c r="C14" s="45">
        <f t="shared" ref="C14:J14" si="3">SUM(C5:C13)</f>
        <v>-1128502.3</v>
      </c>
      <c r="D14" s="46">
        <f t="shared" si="3"/>
        <v>411830</v>
      </c>
      <c r="E14" s="46">
        <f t="shared" si="3"/>
        <v>318118</v>
      </c>
      <c r="F14" s="46">
        <f>SUM(F5:F13)</f>
        <v>35346.444444444438</v>
      </c>
      <c r="G14" s="46"/>
      <c r="H14" s="57">
        <f t="shared" si="3"/>
        <v>0</v>
      </c>
      <c r="I14" s="57">
        <f t="shared" si="3"/>
        <v>425670</v>
      </c>
      <c r="J14" s="58">
        <f t="shared" si="3"/>
        <v>35472.5</v>
      </c>
      <c r="K14" s="104"/>
    </row>
    <row r="15" spans="1:13" x14ac:dyDescent="0.25">
      <c r="A15" s="44"/>
      <c r="B15" s="44"/>
      <c r="C15" s="45"/>
      <c r="D15" s="46"/>
      <c r="E15" s="46"/>
      <c r="F15" s="46"/>
      <c r="G15" s="46"/>
      <c r="H15" s="57"/>
      <c r="I15" s="57"/>
      <c r="J15" s="58"/>
      <c r="K15" s="104"/>
    </row>
    <row r="16" spans="1:13" x14ac:dyDescent="0.25">
      <c r="A16" s="44" t="s">
        <v>76</v>
      </c>
      <c r="B16" s="44"/>
      <c r="C16" s="45">
        <f>C44</f>
        <v>202712.87999999995</v>
      </c>
      <c r="D16" s="46">
        <f>-D44</f>
        <v>-77420</v>
      </c>
      <c r="E16" s="46">
        <f>-E44</f>
        <v>-56617</v>
      </c>
      <c r="F16" s="46">
        <f>E16/9</f>
        <v>-6290.7777777777774</v>
      </c>
      <c r="G16" s="46"/>
      <c r="H16" s="57">
        <f>H44</f>
        <v>1572.3</v>
      </c>
      <c r="I16" s="57">
        <f>-I44</f>
        <v>-77000</v>
      </c>
      <c r="J16" s="58">
        <f>-J44</f>
        <v>-6416.6666666666661</v>
      </c>
      <c r="K16" s="104"/>
    </row>
    <row r="17" spans="1:12" x14ac:dyDescent="0.25">
      <c r="A17" s="44" t="s">
        <v>83</v>
      </c>
      <c r="B17" s="44"/>
      <c r="C17" s="45">
        <f>C51</f>
        <v>99915.56</v>
      </c>
      <c r="D17" s="46">
        <f>-D51</f>
        <v>-32420</v>
      </c>
      <c r="E17" s="46">
        <f>-E51</f>
        <v>-19162</v>
      </c>
      <c r="F17" s="46">
        <f t="shared" ref="F17:F21" si="4">E17/9</f>
        <v>-2129.1111111111113</v>
      </c>
      <c r="G17" s="46"/>
      <c r="H17" s="57">
        <f>H51</f>
        <v>0</v>
      </c>
      <c r="I17" s="57">
        <f>-I51</f>
        <v>-25890</v>
      </c>
      <c r="J17" s="58">
        <f>-J51</f>
        <v>-2157.5</v>
      </c>
      <c r="K17" s="101"/>
    </row>
    <row r="18" spans="1:12" x14ac:dyDescent="0.25">
      <c r="A18" s="44" t="s">
        <v>241</v>
      </c>
      <c r="B18" s="44"/>
      <c r="C18" s="45">
        <f>C67</f>
        <v>223718.93</v>
      </c>
      <c r="D18" s="46">
        <f>-D67</f>
        <v>-91210</v>
      </c>
      <c r="E18" s="46">
        <f>-E67</f>
        <v>-59232</v>
      </c>
      <c r="F18" s="46">
        <f t="shared" si="4"/>
        <v>-6581.333333333333</v>
      </c>
      <c r="G18" s="46"/>
      <c r="H18" s="57">
        <f>H67</f>
        <v>1688.6999999999998</v>
      </c>
      <c r="I18" s="57">
        <f>-I67</f>
        <v>-84170</v>
      </c>
      <c r="J18" s="58">
        <f>-J67</f>
        <v>-7014.166666666667</v>
      </c>
      <c r="K18" s="104"/>
    </row>
    <row r="19" spans="1:12" x14ac:dyDescent="0.25">
      <c r="A19" s="44" t="s">
        <v>77</v>
      </c>
      <c r="B19" s="44"/>
      <c r="C19" s="45">
        <f>C77</f>
        <v>188905.71000000002</v>
      </c>
      <c r="D19" s="46">
        <f>-D77</f>
        <v>-113850</v>
      </c>
      <c r="E19" s="46">
        <f>-E77</f>
        <v>-85060</v>
      </c>
      <c r="F19" s="46">
        <f t="shared" si="4"/>
        <v>-9451.1111111111113</v>
      </c>
      <c r="G19" s="46"/>
      <c r="H19" s="57">
        <f>H77</f>
        <v>1221.6000000000001</v>
      </c>
      <c r="I19" s="57">
        <f>-I77</f>
        <v>-118840</v>
      </c>
      <c r="J19" s="58">
        <f>-J77</f>
        <v>-9903.3333333333321</v>
      </c>
      <c r="K19" s="101"/>
    </row>
    <row r="20" spans="1:12" x14ac:dyDescent="0.25">
      <c r="A20" s="44" t="s">
        <v>296</v>
      </c>
      <c r="B20" s="44"/>
      <c r="C20" s="45">
        <f>C82</f>
        <v>260622.29</v>
      </c>
      <c r="D20" s="46">
        <f>-D82</f>
        <v>-88470</v>
      </c>
      <c r="E20" s="46">
        <f>-E82</f>
        <v>-73726</v>
      </c>
      <c r="F20" s="46">
        <f t="shared" si="4"/>
        <v>-8191.7777777777774</v>
      </c>
      <c r="G20" s="46"/>
      <c r="H20" s="57">
        <f>H82</f>
        <v>0</v>
      </c>
      <c r="I20" s="57">
        <f>-I82</f>
        <v>-88470</v>
      </c>
      <c r="J20" s="58">
        <f>-J82</f>
        <v>-7372.5</v>
      </c>
      <c r="K20" s="101"/>
    </row>
    <row r="21" spans="1:12" x14ac:dyDescent="0.25">
      <c r="A21" s="44" t="s">
        <v>78</v>
      </c>
      <c r="B21" s="44"/>
      <c r="C21" s="45">
        <f>C87</f>
        <v>37137</v>
      </c>
      <c r="D21" s="46">
        <f>-D87</f>
        <v>-15000</v>
      </c>
      <c r="E21" s="46">
        <f>-E87</f>
        <v>-11250</v>
      </c>
      <c r="F21" s="46">
        <f t="shared" si="4"/>
        <v>-1250</v>
      </c>
      <c r="G21" s="46"/>
      <c r="H21" s="57">
        <f>H87</f>
        <v>0</v>
      </c>
      <c r="I21" s="57">
        <f>-I87</f>
        <v>-15000</v>
      </c>
      <c r="J21" s="58">
        <f>-J87</f>
        <v>-1250</v>
      </c>
      <c r="K21" s="106"/>
      <c r="L21" s="24"/>
    </row>
    <row r="22" spans="1:12" x14ac:dyDescent="0.25">
      <c r="A22" s="44" t="s">
        <v>79</v>
      </c>
      <c r="B22" s="44"/>
      <c r="C22" s="52">
        <f>D97</f>
        <v>33000</v>
      </c>
      <c r="D22" s="53">
        <f>-D97</f>
        <v>-33000</v>
      </c>
      <c r="E22" s="53">
        <f>-E97</f>
        <v>-1550</v>
      </c>
      <c r="F22" s="53">
        <f>E22/9</f>
        <v>-172.22222222222223</v>
      </c>
      <c r="G22" s="53"/>
      <c r="H22" s="137">
        <f>H97</f>
        <v>240</v>
      </c>
      <c r="I22" s="137">
        <f>-I97</f>
        <v>-68000</v>
      </c>
      <c r="J22" s="139">
        <f>-J97</f>
        <v>-8166.6666666666679</v>
      </c>
      <c r="K22" s="106"/>
    </row>
    <row r="23" spans="1:12" x14ac:dyDescent="0.25">
      <c r="A23" s="44" t="s">
        <v>80</v>
      </c>
      <c r="B23" s="44"/>
      <c r="C23" s="140">
        <f>SUM(C16:C22)</f>
        <v>1046012.3699999999</v>
      </c>
      <c r="D23" s="141">
        <f t="shared" ref="D23:F23" si="5">SUM(D16:D22)</f>
        <v>-451370</v>
      </c>
      <c r="E23" s="141">
        <f t="shared" si="5"/>
        <v>-306597</v>
      </c>
      <c r="F23" s="141">
        <f t="shared" si="5"/>
        <v>-34066.333333333328</v>
      </c>
      <c r="G23" s="53"/>
      <c r="H23" s="137">
        <f>SUM(H16:H22)</f>
        <v>4722.6000000000004</v>
      </c>
      <c r="I23" s="163">
        <f t="shared" ref="I23:J23" si="6">SUM(I16:I22)</f>
        <v>-477370</v>
      </c>
      <c r="J23" s="164">
        <f t="shared" si="6"/>
        <v>-42280.833333333328</v>
      </c>
      <c r="K23" s="106"/>
    </row>
    <row r="24" spans="1:12" x14ac:dyDescent="0.25">
      <c r="A24" s="44"/>
      <c r="B24" s="44"/>
      <c r="C24" s="45"/>
      <c r="D24" s="45"/>
      <c r="E24" s="45"/>
      <c r="F24" s="45"/>
      <c r="G24" s="45"/>
      <c r="H24" s="115"/>
      <c r="I24" s="115"/>
      <c r="J24" s="116"/>
      <c r="K24" s="106"/>
    </row>
    <row r="25" spans="1:12" ht="15.75" thickBot="1" x14ac:dyDescent="0.3">
      <c r="A25" s="121" t="s">
        <v>550</v>
      </c>
      <c r="B25" s="122"/>
      <c r="C25" s="123">
        <f>SUM(-C14-C23)</f>
        <v>82489.930000000168</v>
      </c>
      <c r="D25" s="72">
        <f>SUM(D14+D23)+D76</f>
        <v>21280</v>
      </c>
      <c r="E25" s="72">
        <f>SUM(E14+E23)+E76</f>
        <v>56123</v>
      </c>
      <c r="F25" s="72">
        <f>SUM(F14+F23)+F76</f>
        <v>6235.8888888888869</v>
      </c>
      <c r="G25" s="72"/>
      <c r="H25" s="73">
        <f>SUM(-H14-H23)</f>
        <v>-4722.6000000000004</v>
      </c>
      <c r="I25" s="73">
        <f>SUM(I14+I23)+I76</f>
        <v>7770</v>
      </c>
      <c r="J25" s="74">
        <f>SUM(J14+J23)+J76</f>
        <v>-1852.4999999999955</v>
      </c>
      <c r="K25" s="106"/>
    </row>
    <row r="26" spans="1:12" x14ac:dyDescent="0.25">
      <c r="A26" s="75" t="s">
        <v>449</v>
      </c>
      <c r="B26" s="44"/>
      <c r="C26" s="45"/>
      <c r="D26" s="45"/>
      <c r="E26" s="45"/>
      <c r="F26" s="45"/>
      <c r="G26" s="45"/>
      <c r="H26" s="115"/>
      <c r="I26" s="115"/>
      <c r="J26" s="116"/>
      <c r="K26" s="106"/>
    </row>
    <row r="27" spans="1:12" x14ac:dyDescent="0.25">
      <c r="A27" s="44" t="s">
        <v>38</v>
      </c>
      <c r="B27" s="63">
        <v>3</v>
      </c>
      <c r="C27" s="45">
        <f>SUM('[2]2014'!C10:E10)+18</f>
        <v>5563.7</v>
      </c>
      <c r="D27" s="45">
        <v>0</v>
      </c>
      <c r="E27" s="45">
        <v>0</v>
      </c>
      <c r="F27" s="45">
        <f>E27/9</f>
        <v>0</v>
      </c>
      <c r="G27" s="45"/>
      <c r="H27" s="115">
        <f t="shared" ref="H27" si="7">D27*$N$8</f>
        <v>0</v>
      </c>
      <c r="I27" s="115">
        <v>0</v>
      </c>
      <c r="J27" s="116">
        <f t="shared" ref="J27:J28" si="8">I27/12</f>
        <v>0</v>
      </c>
      <c r="K27" s="106"/>
      <c r="L27">
        <f t="shared" ref="L27:L43" si="9">SUM(E27)+(F27*3)*1.03</f>
        <v>0</v>
      </c>
    </row>
    <row r="28" spans="1:12" x14ac:dyDescent="0.25">
      <c r="A28" s="44" t="s">
        <v>39</v>
      </c>
      <c r="B28" s="44">
        <v>3</v>
      </c>
      <c r="C28" s="45">
        <f>SUM('[2]2014'!C11:E11)-1</f>
        <v>15234.239999999998</v>
      </c>
      <c r="D28" s="45">
        <v>4150</v>
      </c>
      <c r="E28" s="45">
        <v>3671</v>
      </c>
      <c r="F28" s="45">
        <f t="shared" ref="F28:F42" si="10">E28/9</f>
        <v>407.88888888888891</v>
      </c>
      <c r="G28" s="45"/>
      <c r="H28" s="115">
        <v>0</v>
      </c>
      <c r="I28" s="115">
        <v>4930</v>
      </c>
      <c r="J28" s="116">
        <f t="shared" si="8"/>
        <v>410.83333333333331</v>
      </c>
      <c r="K28" s="101" t="s">
        <v>446</v>
      </c>
      <c r="L28">
        <f t="shared" si="9"/>
        <v>4931.376666666667</v>
      </c>
    </row>
    <row r="29" spans="1:12" x14ac:dyDescent="0.25">
      <c r="A29" s="44" t="s">
        <v>40</v>
      </c>
      <c r="B29" s="44">
        <v>3</v>
      </c>
      <c r="C29" s="45">
        <f>1225.75-353</f>
        <v>872.75</v>
      </c>
      <c r="D29" s="45">
        <v>260</v>
      </c>
      <c r="E29" s="45">
        <f>520</f>
        <v>520</v>
      </c>
      <c r="F29" s="45">
        <f t="shared" si="10"/>
        <v>57.777777777777779</v>
      </c>
      <c r="G29" s="45"/>
      <c r="H29" s="115">
        <v>0</v>
      </c>
      <c r="I29" s="115">
        <v>700</v>
      </c>
      <c r="J29" s="116">
        <f t="shared" ref="J29:J96" si="11">I29/12</f>
        <v>58.333333333333336</v>
      </c>
      <c r="K29" s="104"/>
      <c r="L29">
        <f t="shared" si="9"/>
        <v>698.5333333333333</v>
      </c>
    </row>
    <row r="30" spans="1:12" x14ac:dyDescent="0.25">
      <c r="A30" s="44" t="s">
        <v>41</v>
      </c>
      <c r="B30" s="44"/>
      <c r="C30" s="45"/>
      <c r="D30" s="45">
        <v>10</v>
      </c>
      <c r="E30" s="45">
        <v>8</v>
      </c>
      <c r="F30" s="45">
        <f t="shared" si="10"/>
        <v>0.88888888888888884</v>
      </c>
      <c r="G30" s="45"/>
      <c r="H30" s="115">
        <v>0</v>
      </c>
      <c r="I30" s="115">
        <v>10</v>
      </c>
      <c r="J30" s="116">
        <f t="shared" ref="J30" si="12">I30/12</f>
        <v>0.83333333333333337</v>
      </c>
      <c r="K30" s="104"/>
      <c r="L30">
        <f t="shared" si="9"/>
        <v>10.746666666666666</v>
      </c>
    </row>
    <row r="31" spans="1:12" x14ac:dyDescent="0.25">
      <c r="A31" s="44" t="s">
        <v>317</v>
      </c>
      <c r="B31" s="44">
        <v>3</v>
      </c>
      <c r="C31" s="45">
        <f>663+7</f>
        <v>670</v>
      </c>
      <c r="D31" s="45">
        <v>220</v>
      </c>
      <c r="E31" s="45">
        <v>179</v>
      </c>
      <c r="F31" s="45">
        <f t="shared" si="10"/>
        <v>19.888888888888889</v>
      </c>
      <c r="G31" s="45"/>
      <c r="H31" s="115">
        <f>D31*$M$7</f>
        <v>6.6</v>
      </c>
      <c r="I31" s="115">
        <v>240</v>
      </c>
      <c r="J31" s="116">
        <f t="shared" si="11"/>
        <v>20</v>
      </c>
      <c r="K31" s="104"/>
      <c r="L31">
        <f t="shared" si="9"/>
        <v>240.45666666666668</v>
      </c>
    </row>
    <row r="32" spans="1:12" x14ac:dyDescent="0.25">
      <c r="A32" s="44" t="s">
        <v>429</v>
      </c>
      <c r="B32" s="44">
        <v>3</v>
      </c>
      <c r="C32" s="45">
        <f>621.2+49</f>
        <v>670.2</v>
      </c>
      <c r="D32" s="45">
        <v>360</v>
      </c>
      <c r="E32" s="45">
        <v>224</v>
      </c>
      <c r="F32" s="45">
        <f t="shared" si="10"/>
        <v>24.888888888888889</v>
      </c>
      <c r="G32" s="45"/>
      <c r="H32" s="115">
        <f>D32*$M$7</f>
        <v>10.799999999999999</v>
      </c>
      <c r="I32" s="115">
        <v>300</v>
      </c>
      <c r="J32" s="116">
        <f t="shared" si="11"/>
        <v>25</v>
      </c>
      <c r="K32" s="104"/>
      <c r="L32">
        <f t="shared" si="9"/>
        <v>300.90666666666669</v>
      </c>
    </row>
    <row r="33" spans="1:14" x14ac:dyDescent="0.25">
      <c r="A33" s="44" t="s">
        <v>298</v>
      </c>
      <c r="B33" s="44">
        <v>3</v>
      </c>
      <c r="C33" s="45">
        <f>SUM('[2]2014'!C16:E16)+14</f>
        <v>14</v>
      </c>
      <c r="D33" s="45">
        <v>0</v>
      </c>
      <c r="E33" s="45">
        <v>124</v>
      </c>
      <c r="F33" s="45">
        <f t="shared" si="10"/>
        <v>13.777777777777779</v>
      </c>
      <c r="G33" s="45"/>
      <c r="H33" s="115">
        <f t="shared" ref="H33" si="13">D33*$N$9</f>
        <v>0</v>
      </c>
      <c r="I33" s="115">
        <v>170</v>
      </c>
      <c r="J33" s="116">
        <f t="shared" si="11"/>
        <v>14.166666666666666</v>
      </c>
      <c r="K33" s="104"/>
      <c r="L33">
        <f t="shared" si="9"/>
        <v>166.57333333333332</v>
      </c>
    </row>
    <row r="34" spans="1:14" x14ac:dyDescent="0.25">
      <c r="A34" s="44" t="s">
        <v>269</v>
      </c>
      <c r="B34" s="44">
        <v>3</v>
      </c>
      <c r="C34" s="45">
        <f>37342.5+14600</f>
        <v>51942.5</v>
      </c>
      <c r="D34" s="45">
        <v>20590</v>
      </c>
      <c r="E34" s="45">
        <v>14990</v>
      </c>
      <c r="F34" s="45">
        <f t="shared" si="10"/>
        <v>1665.5555555555557</v>
      </c>
      <c r="G34" s="45"/>
      <c r="H34" s="115">
        <v>0</v>
      </c>
      <c r="I34" s="115">
        <v>20060</v>
      </c>
      <c r="J34" s="116">
        <f t="shared" si="11"/>
        <v>1671.6666666666667</v>
      </c>
      <c r="K34" s="101" t="s">
        <v>566</v>
      </c>
      <c r="L34">
        <f>SUM(I14-I6)*5%</f>
        <v>20055</v>
      </c>
    </row>
    <row r="35" spans="1:14" x14ac:dyDescent="0.25">
      <c r="A35" s="44" t="s">
        <v>299</v>
      </c>
      <c r="B35" s="44">
        <v>3</v>
      </c>
      <c r="C35" s="45">
        <f>83135.34+36311</f>
        <v>119446.34</v>
      </c>
      <c r="D35" s="45">
        <v>40040</v>
      </c>
      <c r="E35" s="45">
        <v>28980</v>
      </c>
      <c r="F35" s="45">
        <f t="shared" si="10"/>
        <v>3220</v>
      </c>
      <c r="G35" s="45"/>
      <c r="H35" s="115">
        <f t="shared" ref="H35:H43" si="14">D35*$M$7</f>
        <v>1201.2</v>
      </c>
      <c r="I35" s="115">
        <v>38930</v>
      </c>
      <c r="J35" s="116">
        <f t="shared" si="11"/>
        <v>3244.1666666666665</v>
      </c>
      <c r="K35" s="104"/>
      <c r="L35">
        <f t="shared" si="9"/>
        <v>38929.800000000003</v>
      </c>
    </row>
    <row r="36" spans="1:14" x14ac:dyDescent="0.25">
      <c r="A36" s="44" t="s">
        <v>270</v>
      </c>
      <c r="B36" s="44">
        <v>3</v>
      </c>
      <c r="C36" s="45">
        <f>1119.75-101</f>
        <v>1018.75</v>
      </c>
      <c r="D36" s="45">
        <v>350</v>
      </c>
      <c r="E36" s="45">
        <v>397</v>
      </c>
      <c r="F36" s="45">
        <f t="shared" si="10"/>
        <v>44.111111111111114</v>
      </c>
      <c r="G36" s="45"/>
      <c r="H36" s="115">
        <f t="shared" si="14"/>
        <v>10.5</v>
      </c>
      <c r="I36" s="115">
        <v>530</v>
      </c>
      <c r="J36" s="116">
        <f t="shared" si="11"/>
        <v>44.166666666666664</v>
      </c>
      <c r="K36" s="104"/>
      <c r="L36">
        <f t="shared" si="9"/>
        <v>533.30333333333328</v>
      </c>
    </row>
    <row r="37" spans="1:14" x14ac:dyDescent="0.25">
      <c r="A37" s="44" t="s">
        <v>43</v>
      </c>
      <c r="B37" s="44">
        <v>3</v>
      </c>
      <c r="C37" s="45">
        <f>3187.63-71</f>
        <v>3116.63</v>
      </c>
      <c r="D37" s="45">
        <v>1040</v>
      </c>
      <c r="E37" s="45">
        <v>1507</v>
      </c>
      <c r="F37" s="45">
        <f t="shared" si="10"/>
        <v>167.44444444444446</v>
      </c>
      <c r="G37" s="45"/>
      <c r="H37" s="115">
        <f t="shared" si="14"/>
        <v>31.2</v>
      </c>
      <c r="I37" s="115">
        <v>2020</v>
      </c>
      <c r="J37" s="116">
        <f t="shared" si="11"/>
        <v>168.33333333333334</v>
      </c>
      <c r="K37" s="104"/>
      <c r="L37">
        <f t="shared" si="9"/>
        <v>2024.4033333333334</v>
      </c>
    </row>
    <row r="38" spans="1:14" x14ac:dyDescent="0.25">
      <c r="A38" s="44" t="s">
        <v>44</v>
      </c>
      <c r="B38" s="44">
        <v>3</v>
      </c>
      <c r="C38" s="45">
        <f>8089.33+1347</f>
        <v>9436.33</v>
      </c>
      <c r="D38" s="45">
        <v>3610</v>
      </c>
      <c r="E38" s="45">
        <v>2722</v>
      </c>
      <c r="F38" s="45">
        <f t="shared" si="10"/>
        <v>302.44444444444446</v>
      </c>
      <c r="G38" s="45"/>
      <c r="H38" s="115">
        <f t="shared" si="14"/>
        <v>108.3</v>
      </c>
      <c r="I38" s="115">
        <v>3660</v>
      </c>
      <c r="J38" s="116">
        <f t="shared" si="11"/>
        <v>305</v>
      </c>
      <c r="K38" s="104"/>
      <c r="L38">
        <f t="shared" si="9"/>
        <v>3656.5533333333333</v>
      </c>
    </row>
    <row r="39" spans="1:14" x14ac:dyDescent="0.25">
      <c r="A39" s="44" t="s">
        <v>217</v>
      </c>
      <c r="B39" s="44">
        <v>3</v>
      </c>
      <c r="C39" s="45">
        <f>2457.02+105</f>
        <v>2562.02</v>
      </c>
      <c r="D39" s="45">
        <v>960</v>
      </c>
      <c r="E39" s="45">
        <v>203</v>
      </c>
      <c r="F39" s="45">
        <f t="shared" si="10"/>
        <v>22.555555555555557</v>
      </c>
      <c r="G39" s="45"/>
      <c r="H39" s="115">
        <f t="shared" si="14"/>
        <v>28.799999999999997</v>
      </c>
      <c r="I39" s="115">
        <v>270</v>
      </c>
      <c r="J39" s="116">
        <f t="shared" si="11"/>
        <v>22.5</v>
      </c>
      <c r="K39" s="104"/>
      <c r="L39">
        <f t="shared" si="9"/>
        <v>272.69666666666666</v>
      </c>
    </row>
    <row r="40" spans="1:14" x14ac:dyDescent="0.25">
      <c r="A40" s="44" t="s">
        <v>271</v>
      </c>
      <c r="B40" s="44">
        <v>3</v>
      </c>
      <c r="C40" s="45">
        <f>2984.31-71</f>
        <v>2913.31</v>
      </c>
      <c r="D40" s="45">
        <v>2720</v>
      </c>
      <c r="E40" s="45">
        <v>1148</v>
      </c>
      <c r="F40" s="45">
        <f t="shared" si="10"/>
        <v>127.55555555555556</v>
      </c>
      <c r="G40" s="45"/>
      <c r="H40" s="115">
        <f t="shared" si="14"/>
        <v>81.599999999999994</v>
      </c>
      <c r="I40" s="115">
        <v>1540</v>
      </c>
      <c r="J40" s="116">
        <f t="shared" si="11"/>
        <v>128.33333333333334</v>
      </c>
      <c r="K40" s="104"/>
      <c r="L40">
        <f t="shared" si="9"/>
        <v>1542.1466666666668</v>
      </c>
    </row>
    <row r="41" spans="1:14" x14ac:dyDescent="0.25">
      <c r="A41" s="44" t="s">
        <v>245</v>
      </c>
      <c r="B41" s="44">
        <v>3</v>
      </c>
      <c r="C41" s="45">
        <f>7577.28-2071</f>
        <v>5506.28</v>
      </c>
      <c r="D41" s="45">
        <v>1860</v>
      </c>
      <c r="E41" s="45">
        <v>123</v>
      </c>
      <c r="F41" s="45">
        <f t="shared" si="10"/>
        <v>13.666666666666666</v>
      </c>
      <c r="G41" s="45"/>
      <c r="H41" s="115">
        <f t="shared" si="14"/>
        <v>55.8</v>
      </c>
      <c r="I41" s="115">
        <v>1200</v>
      </c>
      <c r="J41" s="116">
        <f t="shared" si="11"/>
        <v>100</v>
      </c>
      <c r="K41" s="101" t="s">
        <v>647</v>
      </c>
      <c r="L41">
        <f t="shared" si="9"/>
        <v>165.23000000000002</v>
      </c>
    </row>
    <row r="42" spans="1:14" x14ac:dyDescent="0.25">
      <c r="A42" s="44" t="s">
        <v>219</v>
      </c>
      <c r="B42" s="44">
        <v>3</v>
      </c>
      <c r="C42" s="45">
        <f>9296.53-6675</f>
        <v>2621.5300000000007</v>
      </c>
      <c r="D42" s="45">
        <v>710</v>
      </c>
      <c r="E42" s="45">
        <v>383</v>
      </c>
      <c r="F42" s="45">
        <f t="shared" si="10"/>
        <v>42.555555555555557</v>
      </c>
      <c r="G42" s="45"/>
      <c r="H42" s="115">
        <f t="shared" si="14"/>
        <v>21.3</v>
      </c>
      <c r="I42" s="115">
        <v>510</v>
      </c>
      <c r="J42" s="116">
        <f t="shared" si="11"/>
        <v>42.5</v>
      </c>
      <c r="K42" s="104"/>
      <c r="L42">
        <f t="shared" si="9"/>
        <v>514.49666666666667</v>
      </c>
    </row>
    <row r="43" spans="1:14" x14ac:dyDescent="0.25">
      <c r="A43" s="44" t="s">
        <v>46</v>
      </c>
      <c r="B43" s="44">
        <v>3</v>
      </c>
      <c r="C43" s="52">
        <f>12265.24-10343</f>
        <v>1922.2399999999998</v>
      </c>
      <c r="D43" s="52">
        <v>540</v>
      </c>
      <c r="E43" s="52">
        <v>1438</v>
      </c>
      <c r="F43" s="52">
        <f>E43/9</f>
        <v>159.77777777777777</v>
      </c>
      <c r="G43" s="52"/>
      <c r="H43" s="142">
        <f t="shared" si="14"/>
        <v>16.2</v>
      </c>
      <c r="I43" s="142">
        <v>1930</v>
      </c>
      <c r="J43" s="120">
        <f t="shared" si="11"/>
        <v>160.83333333333334</v>
      </c>
      <c r="K43" s="104"/>
      <c r="L43">
        <f t="shared" si="9"/>
        <v>1931.7133333333334</v>
      </c>
    </row>
    <row r="44" spans="1:14" x14ac:dyDescent="0.25">
      <c r="A44" s="75" t="s">
        <v>81</v>
      </c>
      <c r="B44" s="44"/>
      <c r="C44" s="45">
        <f>SUM(C29:C43)</f>
        <v>202712.87999999995</v>
      </c>
      <c r="D44" s="45">
        <f>SUM(D27:D43)</f>
        <v>77420</v>
      </c>
      <c r="E44" s="45">
        <f>SUM(E27:E43)</f>
        <v>56617</v>
      </c>
      <c r="F44" s="45">
        <f>SUM(F27:F43)</f>
        <v>6290.7777777777783</v>
      </c>
      <c r="G44" s="45"/>
      <c r="H44" s="115">
        <f>SUM(H29:H43)</f>
        <v>1572.3</v>
      </c>
      <c r="I44" s="115">
        <f>SUM(I27:I43)</f>
        <v>77000</v>
      </c>
      <c r="J44" s="116">
        <f>SUM(J27:J43)</f>
        <v>6416.6666666666661</v>
      </c>
      <c r="K44" s="104"/>
    </row>
    <row r="45" spans="1:14" x14ac:dyDescent="0.25">
      <c r="A45" s="75"/>
      <c r="B45" s="44"/>
      <c r="C45" s="45"/>
      <c r="D45" s="45"/>
      <c r="E45" s="45"/>
      <c r="F45" s="45"/>
      <c r="G45" s="45"/>
      <c r="H45" s="115"/>
      <c r="I45" s="115"/>
      <c r="J45" s="116"/>
      <c r="K45" s="104"/>
    </row>
    <row r="46" spans="1:14" x14ac:dyDescent="0.25">
      <c r="A46" s="75" t="s">
        <v>450</v>
      </c>
      <c r="B46" s="44"/>
      <c r="C46" s="45"/>
      <c r="D46" s="45"/>
      <c r="E46" s="45"/>
      <c r="F46" s="45"/>
      <c r="G46" s="45"/>
      <c r="H46" s="115"/>
      <c r="I46" s="115"/>
      <c r="J46" s="116"/>
      <c r="K46" s="104"/>
    </row>
    <row r="47" spans="1:14" x14ac:dyDescent="0.25">
      <c r="A47" s="44" t="s">
        <v>220</v>
      </c>
      <c r="B47" s="44">
        <v>3</v>
      </c>
      <c r="C47" s="45">
        <f>17044.18+901</f>
        <v>17945.18</v>
      </c>
      <c r="D47" s="45">
        <v>4100</v>
      </c>
      <c r="E47" s="45">
        <v>2956</v>
      </c>
      <c r="F47" s="45">
        <f>E47/9</f>
        <v>328.44444444444446</v>
      </c>
      <c r="G47" s="45"/>
      <c r="H47" s="115">
        <f>D47*$N$47</f>
        <v>0</v>
      </c>
      <c r="I47" s="115">
        <v>3970</v>
      </c>
      <c r="J47" s="116">
        <f t="shared" si="11"/>
        <v>330.83333333333331</v>
      </c>
      <c r="K47" s="101" t="s">
        <v>501</v>
      </c>
      <c r="L47">
        <f t="shared" ref="L47" si="15">SUM(E47)+(F47*3)*1.03</f>
        <v>3970.8933333333334</v>
      </c>
      <c r="N47" s="31"/>
    </row>
    <row r="48" spans="1:14" x14ac:dyDescent="0.25">
      <c r="A48" s="44" t="s">
        <v>47</v>
      </c>
      <c r="B48" s="44">
        <v>3</v>
      </c>
      <c r="C48" s="45">
        <f>14215.24+5213</f>
        <v>19428.239999999998</v>
      </c>
      <c r="D48" s="45">
        <v>7200</v>
      </c>
      <c r="E48" s="45">
        <v>5654</v>
      </c>
      <c r="F48" s="45">
        <f t="shared" ref="F48:F49" si="16">E48/9</f>
        <v>628.22222222222217</v>
      </c>
      <c r="G48" s="45"/>
      <c r="H48" s="115">
        <f>D48*$N$48</f>
        <v>0</v>
      </c>
      <c r="I48" s="115">
        <v>7690</v>
      </c>
      <c r="J48" s="116">
        <f t="shared" si="11"/>
        <v>640.83333333333337</v>
      </c>
      <c r="K48" s="101" t="s">
        <v>610</v>
      </c>
      <c r="L48">
        <f>SUM(E48)+(F48*3)*1.08</f>
        <v>7689.4400000000005</v>
      </c>
      <c r="N48" s="31"/>
    </row>
    <row r="49" spans="1:18" x14ac:dyDescent="0.25">
      <c r="A49" s="44" t="s">
        <v>48</v>
      </c>
      <c r="B49" s="44">
        <v>3</v>
      </c>
      <c r="C49" s="45">
        <f>33786.76+11213</f>
        <v>44999.76</v>
      </c>
      <c r="D49" s="45">
        <v>14710</v>
      </c>
      <c r="E49" s="45">
        <v>6321</v>
      </c>
      <c r="F49" s="45">
        <f t="shared" si="16"/>
        <v>702.33333333333337</v>
      </c>
      <c r="G49" s="45"/>
      <c r="H49" s="115">
        <f>D49*$N$49</f>
        <v>0</v>
      </c>
      <c r="I49" s="115">
        <v>8510</v>
      </c>
      <c r="J49" s="116">
        <f t="shared" si="11"/>
        <v>709.16666666666663</v>
      </c>
      <c r="K49" s="101" t="s">
        <v>533</v>
      </c>
      <c r="L49">
        <f t="shared" ref="L49:L56" si="17">SUM(E49)+(F49*3)*1.04</f>
        <v>8512.2800000000007</v>
      </c>
      <c r="N49" s="31"/>
    </row>
    <row r="50" spans="1:18" x14ac:dyDescent="0.25">
      <c r="A50" s="44" t="s">
        <v>49</v>
      </c>
      <c r="B50" s="44">
        <v>3</v>
      </c>
      <c r="C50" s="52">
        <f>13469.38+4073</f>
        <v>17542.379999999997</v>
      </c>
      <c r="D50" s="52">
        <v>6410</v>
      </c>
      <c r="E50" s="52">
        <v>4231</v>
      </c>
      <c r="F50" s="52">
        <f>E50/9</f>
        <v>470.11111111111109</v>
      </c>
      <c r="G50" s="52"/>
      <c r="H50" s="142">
        <f>D50*$N$50</f>
        <v>0</v>
      </c>
      <c r="I50" s="142">
        <v>5720</v>
      </c>
      <c r="J50" s="120">
        <f t="shared" si="11"/>
        <v>476.66666666666669</v>
      </c>
      <c r="K50" s="101" t="s">
        <v>585</v>
      </c>
      <c r="L50">
        <f>SUM(E50)+(F50*3)*1.05</f>
        <v>5711.85</v>
      </c>
      <c r="N50" s="31"/>
    </row>
    <row r="51" spans="1:18" x14ac:dyDescent="0.25">
      <c r="A51" s="75" t="s">
        <v>301</v>
      </c>
      <c r="B51" s="44"/>
      <c r="C51" s="45">
        <f>SUM(C47:C50)</f>
        <v>99915.56</v>
      </c>
      <c r="D51" s="45">
        <f>SUM(D47:D50)</f>
        <v>32420</v>
      </c>
      <c r="E51" s="45">
        <f>SUM(E47:E50)</f>
        <v>19162</v>
      </c>
      <c r="F51" s="45">
        <f>SUM(F47:F50)</f>
        <v>2129.1111111111113</v>
      </c>
      <c r="G51" s="45"/>
      <c r="H51" s="115">
        <f>SUM(H47:H50)</f>
        <v>0</v>
      </c>
      <c r="I51" s="115">
        <f>SUM(I47:I50)</f>
        <v>25890</v>
      </c>
      <c r="J51" s="116">
        <f t="shared" si="11"/>
        <v>2157.5</v>
      </c>
      <c r="K51" s="101"/>
    </row>
    <row r="52" spans="1:18" x14ac:dyDescent="0.25">
      <c r="A52" s="75"/>
      <c r="B52" s="44"/>
      <c r="C52" s="45"/>
      <c r="D52" s="45"/>
      <c r="E52" s="45"/>
      <c r="F52" s="45"/>
      <c r="G52" s="45"/>
      <c r="H52" s="115"/>
      <c r="I52" s="115"/>
      <c r="J52" s="116"/>
      <c r="K52" s="101"/>
    </row>
    <row r="53" spans="1:18" x14ac:dyDescent="0.25">
      <c r="A53" s="75" t="s">
        <v>451</v>
      </c>
      <c r="B53" s="44"/>
      <c r="C53" s="45"/>
      <c r="D53" s="45"/>
      <c r="E53" s="45"/>
      <c r="F53" s="45"/>
      <c r="G53" s="45"/>
      <c r="H53" s="115"/>
      <c r="I53" s="115"/>
      <c r="J53" s="116"/>
      <c r="K53" s="101"/>
    </row>
    <row r="54" spans="1:18" x14ac:dyDescent="0.25">
      <c r="A54" s="44" t="s">
        <v>51</v>
      </c>
      <c r="B54" s="44">
        <v>3</v>
      </c>
      <c r="C54" s="45">
        <f>9580.55-1919</f>
        <v>7661.5499999999993</v>
      </c>
      <c r="D54" s="45">
        <v>5240</v>
      </c>
      <c r="E54" s="45">
        <v>3780</v>
      </c>
      <c r="F54" s="45">
        <f>E54/9</f>
        <v>420</v>
      </c>
      <c r="G54" s="45"/>
      <c r="H54" s="115">
        <v>0</v>
      </c>
      <c r="I54" s="115">
        <v>5080</v>
      </c>
      <c r="J54" s="116">
        <f t="shared" si="11"/>
        <v>423.33333333333331</v>
      </c>
      <c r="K54" s="104"/>
      <c r="L54">
        <f>SUM(E54)+(F54*3)*1.03</f>
        <v>5077.8</v>
      </c>
    </row>
    <row r="55" spans="1:18" x14ac:dyDescent="0.25">
      <c r="A55" s="44" t="s">
        <v>302</v>
      </c>
      <c r="B55" s="44">
        <v>3</v>
      </c>
      <c r="C55" s="45">
        <f>1634.66+667</f>
        <v>2301.66</v>
      </c>
      <c r="D55" s="45">
        <v>690</v>
      </c>
      <c r="E55" s="45">
        <v>513</v>
      </c>
      <c r="F55" s="45">
        <f t="shared" ref="F55:F65" si="18">E55/9</f>
        <v>57</v>
      </c>
      <c r="G55" s="45"/>
      <c r="H55" s="115">
        <f t="shared" ref="H55:H62" si="19">D55*$M$7</f>
        <v>20.7</v>
      </c>
      <c r="I55" s="115">
        <v>690</v>
      </c>
      <c r="J55" s="116">
        <f t="shared" si="11"/>
        <v>57.5</v>
      </c>
      <c r="K55" s="104"/>
      <c r="L55">
        <f>SUM(E55)+(F55*3)*1.03</f>
        <v>689.13</v>
      </c>
    </row>
    <row r="56" spans="1:18" x14ac:dyDescent="0.25">
      <c r="A56" s="44" t="s">
        <v>53</v>
      </c>
      <c r="B56" s="44">
        <v>3</v>
      </c>
      <c r="C56" s="45">
        <f>8766.97+1689</f>
        <v>10455.969999999999</v>
      </c>
      <c r="D56" s="45">
        <v>3660</v>
      </c>
      <c r="E56" s="45">
        <v>2482</v>
      </c>
      <c r="F56" s="45">
        <f t="shared" si="18"/>
        <v>275.77777777777777</v>
      </c>
      <c r="G56" s="45"/>
      <c r="H56" s="115">
        <f t="shared" si="19"/>
        <v>109.8</v>
      </c>
      <c r="I56" s="115">
        <v>3340</v>
      </c>
      <c r="J56" s="116">
        <f t="shared" si="11"/>
        <v>278.33333333333331</v>
      </c>
      <c r="K56" s="101" t="s">
        <v>542</v>
      </c>
      <c r="L56">
        <f t="shared" si="17"/>
        <v>3342.4266666666667</v>
      </c>
    </row>
    <row r="57" spans="1:18" x14ac:dyDescent="0.25">
      <c r="A57" s="44" t="s">
        <v>303</v>
      </c>
      <c r="B57" s="44">
        <v>3</v>
      </c>
      <c r="C57" s="45">
        <f>1824+1671</f>
        <v>3495</v>
      </c>
      <c r="D57" s="45">
        <v>1920</v>
      </c>
      <c r="E57" s="45">
        <v>1209</v>
      </c>
      <c r="F57" s="45">
        <f t="shared" si="18"/>
        <v>134.33333333333334</v>
      </c>
      <c r="G57" s="45"/>
      <c r="H57" s="115">
        <f t="shared" si="19"/>
        <v>57.599999999999994</v>
      </c>
      <c r="I57" s="115">
        <v>1920</v>
      </c>
      <c r="J57" s="116">
        <f t="shared" si="11"/>
        <v>160</v>
      </c>
      <c r="K57" s="104"/>
      <c r="L57">
        <f>SUM(E57)+(F57*3)*1.03</f>
        <v>1624.0900000000001</v>
      </c>
    </row>
    <row r="58" spans="1:18" x14ac:dyDescent="0.25">
      <c r="A58" s="44" t="s">
        <v>518</v>
      </c>
      <c r="B58" s="44"/>
      <c r="C58" s="45"/>
      <c r="D58" s="45">
        <v>760</v>
      </c>
      <c r="E58" s="45">
        <v>0</v>
      </c>
      <c r="F58" s="45">
        <f t="shared" si="18"/>
        <v>0</v>
      </c>
      <c r="G58" s="45"/>
      <c r="H58" s="115"/>
      <c r="I58" s="115">
        <v>0</v>
      </c>
      <c r="J58" s="116">
        <f t="shared" si="11"/>
        <v>0</v>
      </c>
      <c r="K58" s="104"/>
      <c r="L58">
        <f t="shared" ref="L58:L66" si="20">SUM(E58)+(F58*3)*1.03</f>
        <v>0</v>
      </c>
    </row>
    <row r="59" spans="1:18" x14ac:dyDescent="0.25">
      <c r="A59" s="44" t="s">
        <v>236</v>
      </c>
      <c r="B59" s="44">
        <v>3</v>
      </c>
      <c r="C59" s="45">
        <v>145</v>
      </c>
      <c r="D59" s="45">
        <v>100</v>
      </c>
      <c r="E59" s="45">
        <v>270</v>
      </c>
      <c r="F59" s="45">
        <f t="shared" si="18"/>
        <v>30</v>
      </c>
      <c r="G59" s="45"/>
      <c r="H59" s="115">
        <v>0</v>
      </c>
      <c r="I59" s="115">
        <v>360</v>
      </c>
      <c r="J59" s="116">
        <f t="shared" si="11"/>
        <v>30</v>
      </c>
      <c r="K59" s="104"/>
      <c r="L59">
        <f t="shared" si="20"/>
        <v>362.7</v>
      </c>
    </row>
    <row r="60" spans="1:18" x14ac:dyDescent="0.25">
      <c r="A60" s="44" t="s">
        <v>305</v>
      </c>
      <c r="B60" s="44">
        <v>3</v>
      </c>
      <c r="C60" s="45">
        <v>3292</v>
      </c>
      <c r="D60" s="45">
        <v>1000</v>
      </c>
      <c r="E60" s="45">
        <v>129</v>
      </c>
      <c r="F60" s="45">
        <f t="shared" si="18"/>
        <v>14.333333333333334</v>
      </c>
      <c r="G60" s="45"/>
      <c r="H60" s="115">
        <v>0</v>
      </c>
      <c r="I60" s="115">
        <v>300</v>
      </c>
      <c r="J60" s="116">
        <f t="shared" si="11"/>
        <v>25</v>
      </c>
      <c r="K60" s="104"/>
      <c r="L60">
        <f t="shared" si="20"/>
        <v>173.29</v>
      </c>
    </row>
    <row r="61" spans="1:18" x14ac:dyDescent="0.25">
      <c r="A61" s="44" t="s">
        <v>56</v>
      </c>
      <c r="B61" s="44">
        <v>3</v>
      </c>
      <c r="C61" s="45">
        <f>102033.87+38091</f>
        <v>140124.87</v>
      </c>
      <c r="D61" s="45">
        <v>44730</v>
      </c>
      <c r="E61" s="45">
        <v>33148</v>
      </c>
      <c r="F61" s="45">
        <f t="shared" si="18"/>
        <v>3683.1111111111113</v>
      </c>
      <c r="G61" s="45"/>
      <c r="H61" s="115">
        <f t="shared" si="19"/>
        <v>1341.8999999999999</v>
      </c>
      <c r="I61" s="115">
        <v>44530</v>
      </c>
      <c r="J61" s="116">
        <f t="shared" si="11"/>
        <v>3710.8333333333335</v>
      </c>
      <c r="K61" s="104"/>
      <c r="L61">
        <f t="shared" si="20"/>
        <v>44528.813333333332</v>
      </c>
    </row>
    <row r="62" spans="1:18" x14ac:dyDescent="0.25">
      <c r="A62" s="44" t="s">
        <v>248</v>
      </c>
      <c r="B62" s="44">
        <v>3</v>
      </c>
      <c r="C62" s="45">
        <f>30628.39-4007</f>
        <v>26621.39</v>
      </c>
      <c r="D62" s="45">
        <v>5290</v>
      </c>
      <c r="E62" s="45">
        <v>4394</v>
      </c>
      <c r="F62" s="45">
        <f t="shared" si="18"/>
        <v>488.22222222222223</v>
      </c>
      <c r="G62" s="45"/>
      <c r="H62" s="115">
        <f t="shared" si="19"/>
        <v>158.69999999999999</v>
      </c>
      <c r="I62" s="115">
        <v>5900</v>
      </c>
      <c r="J62" s="116">
        <f t="shared" si="11"/>
        <v>491.66666666666669</v>
      </c>
      <c r="K62" s="104"/>
      <c r="L62">
        <f t="shared" si="20"/>
        <v>5902.6066666666666</v>
      </c>
    </row>
    <row r="63" spans="1:18" x14ac:dyDescent="0.25">
      <c r="A63" s="44" t="s">
        <v>55</v>
      </c>
      <c r="B63" s="44">
        <v>3</v>
      </c>
      <c r="C63" s="45">
        <f>45124.61-26803</f>
        <v>18321.61</v>
      </c>
      <c r="D63" s="45">
        <v>15170</v>
      </c>
      <c r="E63" s="45">
        <v>4699</v>
      </c>
      <c r="F63" s="45">
        <f t="shared" si="18"/>
        <v>522.11111111111109</v>
      </c>
      <c r="G63" s="45"/>
      <c r="H63" s="115">
        <v>0</v>
      </c>
      <c r="I63" s="115">
        <f>6310+1500</f>
        <v>7810</v>
      </c>
      <c r="J63" s="116">
        <f t="shared" si="11"/>
        <v>650.83333333333337</v>
      </c>
      <c r="K63" s="101" t="s">
        <v>612</v>
      </c>
      <c r="L63">
        <f t="shared" si="20"/>
        <v>6312.3233333333337</v>
      </c>
    </row>
    <row r="64" spans="1:18" x14ac:dyDescent="0.25">
      <c r="A64" s="44" t="s">
        <v>496</v>
      </c>
      <c r="B64" s="44"/>
      <c r="C64" s="118"/>
      <c r="D64" s="45">
        <v>2800</v>
      </c>
      <c r="E64" s="46">
        <v>3388</v>
      </c>
      <c r="F64" s="46">
        <f t="shared" si="18"/>
        <v>376.44444444444446</v>
      </c>
      <c r="G64" s="46"/>
      <c r="H64" s="57">
        <v>0</v>
      </c>
      <c r="I64" s="57">
        <v>4550</v>
      </c>
      <c r="J64" s="58">
        <f t="shared" si="11"/>
        <v>379.16666666666669</v>
      </c>
      <c r="K64" s="101"/>
      <c r="L64">
        <f t="shared" si="20"/>
        <v>4551.2133333333331</v>
      </c>
      <c r="M64" s="104"/>
      <c r="N64" s="104"/>
      <c r="O64" s="104"/>
      <c r="P64" s="104"/>
      <c r="Q64" s="104"/>
      <c r="R64" s="104"/>
    </row>
    <row r="65" spans="1:18" x14ac:dyDescent="0.25">
      <c r="A65" s="44" t="s">
        <v>497</v>
      </c>
      <c r="B65" s="44"/>
      <c r="C65" s="118"/>
      <c r="D65" s="45">
        <v>3000</v>
      </c>
      <c r="E65" s="46">
        <v>2978</v>
      </c>
      <c r="F65" s="46">
        <f t="shared" si="18"/>
        <v>330.88888888888891</v>
      </c>
      <c r="G65" s="46"/>
      <c r="H65" s="57">
        <v>0</v>
      </c>
      <c r="I65" s="57">
        <v>4000</v>
      </c>
      <c r="J65" s="58">
        <f t="shared" si="11"/>
        <v>333.33333333333331</v>
      </c>
      <c r="K65" s="101"/>
      <c r="L65">
        <f t="shared" si="20"/>
        <v>4000.4466666666667</v>
      </c>
      <c r="M65" s="104"/>
      <c r="N65" s="104"/>
      <c r="O65" s="104"/>
      <c r="P65" s="104"/>
      <c r="Q65" s="104"/>
      <c r="R65" s="104"/>
    </row>
    <row r="66" spans="1:18" x14ac:dyDescent="0.25">
      <c r="A66" s="44" t="s">
        <v>57</v>
      </c>
      <c r="B66" s="44">
        <v>3</v>
      </c>
      <c r="C66" s="52">
        <f>16962.88-5663</f>
        <v>11299.880000000001</v>
      </c>
      <c r="D66" s="52">
        <v>6850</v>
      </c>
      <c r="E66" s="52">
        <v>2242</v>
      </c>
      <c r="F66" s="52">
        <f>E66/9</f>
        <v>249.11111111111111</v>
      </c>
      <c r="G66" s="52"/>
      <c r="H66" s="142">
        <v>0</v>
      </c>
      <c r="I66" s="142">
        <v>5690</v>
      </c>
      <c r="J66" s="120">
        <f t="shared" si="11"/>
        <v>474.16666666666669</v>
      </c>
      <c r="K66" s="101" t="s">
        <v>600</v>
      </c>
      <c r="L66">
        <f t="shared" si="20"/>
        <v>3011.7533333333336</v>
      </c>
    </row>
    <row r="67" spans="1:18" x14ac:dyDescent="0.25">
      <c r="A67" s="75" t="s">
        <v>84</v>
      </c>
      <c r="B67" s="44"/>
      <c r="C67" s="45">
        <f>SUM(C54:C66)</f>
        <v>223718.93</v>
      </c>
      <c r="D67" s="45">
        <f>SUM(D54:D66)</f>
        <v>91210</v>
      </c>
      <c r="E67" s="45">
        <f>SUM(E54:E66)</f>
        <v>59232</v>
      </c>
      <c r="F67" s="45">
        <f>SUM(F54:F66)</f>
        <v>6581.3333333333339</v>
      </c>
      <c r="G67" s="45"/>
      <c r="H67" s="115">
        <f>SUM(H54:H66)</f>
        <v>1688.6999999999998</v>
      </c>
      <c r="I67" s="115">
        <f>SUM(I54:I66)</f>
        <v>84170</v>
      </c>
      <c r="J67" s="116">
        <f t="shared" si="11"/>
        <v>7014.166666666667</v>
      </c>
      <c r="K67" s="104"/>
    </row>
    <row r="68" spans="1:18" x14ac:dyDescent="0.25">
      <c r="A68" s="75"/>
      <c r="B68" s="44"/>
      <c r="C68" s="45"/>
      <c r="D68" s="45"/>
      <c r="E68" s="45"/>
      <c r="F68" s="45"/>
      <c r="G68" s="45"/>
      <c r="H68" s="115"/>
      <c r="I68" s="115"/>
      <c r="J68" s="116"/>
      <c r="K68" s="104"/>
    </row>
    <row r="69" spans="1:18" x14ac:dyDescent="0.25">
      <c r="A69" s="75" t="s">
        <v>452</v>
      </c>
      <c r="B69" s="44"/>
      <c r="C69" s="45"/>
      <c r="D69" s="45"/>
      <c r="E69" s="45"/>
      <c r="F69" s="45"/>
      <c r="G69" s="45"/>
      <c r="H69" s="115"/>
      <c r="I69" s="115"/>
      <c r="J69" s="116"/>
      <c r="K69" s="104"/>
    </row>
    <row r="70" spans="1:18" x14ac:dyDescent="0.25">
      <c r="A70" s="44" t="s">
        <v>42</v>
      </c>
      <c r="B70" s="44">
        <v>3</v>
      </c>
      <c r="C70" s="45">
        <f>19536.79+389</f>
        <v>19925.79</v>
      </c>
      <c r="D70" s="45">
        <v>6800</v>
      </c>
      <c r="E70" s="45">
        <v>4872</v>
      </c>
      <c r="F70" s="45">
        <f>E70/9</f>
        <v>541.33333333333337</v>
      </c>
      <c r="G70" s="45"/>
      <c r="H70" s="115">
        <f>D70*$N$70</f>
        <v>520.20000000000005</v>
      </c>
      <c r="I70" s="115">
        <v>6760</v>
      </c>
      <c r="J70" s="116">
        <f t="shared" si="11"/>
        <v>563.33333333333337</v>
      </c>
      <c r="K70" s="101" t="s">
        <v>425</v>
      </c>
      <c r="L70">
        <f>SUM($I$28+$I$35+$I$61)*7.65%</f>
        <v>6761.835</v>
      </c>
      <c r="N70" s="34">
        <v>7.6499999999999999E-2</v>
      </c>
    </row>
    <row r="71" spans="1:18" x14ac:dyDescent="0.25">
      <c r="A71" s="44" t="s">
        <v>318</v>
      </c>
      <c r="B71" s="44">
        <v>3</v>
      </c>
      <c r="C71" s="45">
        <f>88286.6-42973</f>
        <v>45313.600000000006</v>
      </c>
      <c r="D71" s="45">
        <v>12540</v>
      </c>
      <c r="E71" s="45">
        <v>11189</v>
      </c>
      <c r="F71" s="45">
        <f t="shared" ref="F71:F75" si="21">E71/9</f>
        <v>1243.2222222222222</v>
      </c>
      <c r="G71" s="45"/>
      <c r="H71" s="115">
        <f>D71*$N$71</f>
        <v>627</v>
      </c>
      <c r="I71" s="115">
        <v>15100</v>
      </c>
      <c r="J71" s="116">
        <f t="shared" si="11"/>
        <v>1258.3333333333333</v>
      </c>
      <c r="K71" s="101" t="s">
        <v>422</v>
      </c>
      <c r="L71">
        <f>SUM(E71)+(F71*3)*1.05</f>
        <v>15105.15</v>
      </c>
      <c r="N71" s="31">
        <v>0.05</v>
      </c>
    </row>
    <row r="72" spans="1:18" x14ac:dyDescent="0.25">
      <c r="A72" s="44" t="s">
        <v>59</v>
      </c>
      <c r="B72" s="44">
        <v>3</v>
      </c>
      <c r="C72" s="45">
        <f>94537.32-32715</f>
        <v>61822.320000000007</v>
      </c>
      <c r="D72" s="45">
        <v>26680</v>
      </c>
      <c r="E72" s="45">
        <v>15199</v>
      </c>
      <c r="F72" s="45">
        <f t="shared" si="21"/>
        <v>1688.7777777777778</v>
      </c>
      <c r="G72" s="45"/>
      <c r="H72" s="115">
        <v>0</v>
      </c>
      <c r="I72" s="115">
        <v>26520</v>
      </c>
      <c r="J72" s="116">
        <f t="shared" si="11"/>
        <v>2210</v>
      </c>
      <c r="K72" s="101" t="s">
        <v>502</v>
      </c>
      <c r="L72">
        <f>SUM($I$28+$I$35+$I$61)*30%</f>
        <v>26517</v>
      </c>
      <c r="N72" s="31">
        <v>0.3</v>
      </c>
    </row>
    <row r="73" spans="1:18" x14ac:dyDescent="0.25">
      <c r="A73" s="44" t="s">
        <v>225</v>
      </c>
      <c r="B73" s="44">
        <v>3</v>
      </c>
      <c r="C73" s="45">
        <v>933</v>
      </c>
      <c r="D73" s="45">
        <v>2480</v>
      </c>
      <c r="E73" s="45">
        <v>2979</v>
      </c>
      <c r="F73" s="45">
        <f t="shared" si="21"/>
        <v>331</v>
      </c>
      <c r="G73" s="45"/>
      <c r="H73" s="115">
        <f>D73*$M$7</f>
        <v>74.399999999999991</v>
      </c>
      <c r="I73" s="115">
        <v>2650</v>
      </c>
      <c r="J73" s="116">
        <f t="shared" si="11"/>
        <v>220.83333333333334</v>
      </c>
      <c r="K73" s="101" t="s">
        <v>543</v>
      </c>
      <c r="L73">
        <f>SUM($I$28+$I$35+$I$61)*3%</f>
        <v>2651.7</v>
      </c>
    </row>
    <row r="74" spans="1:18" x14ac:dyDescent="0.25">
      <c r="A74" s="44" t="s">
        <v>70</v>
      </c>
      <c r="B74" s="44"/>
      <c r="C74" s="45"/>
      <c r="D74" s="45">
        <v>1330</v>
      </c>
      <c r="E74" s="45">
        <v>677</v>
      </c>
      <c r="F74" s="45">
        <f t="shared" si="21"/>
        <v>75.222222222222229</v>
      </c>
      <c r="G74" s="45"/>
      <c r="H74" s="115"/>
      <c r="I74" s="115">
        <v>900</v>
      </c>
      <c r="J74" s="116">
        <f t="shared" si="11"/>
        <v>75</v>
      </c>
      <c r="K74" s="101"/>
      <c r="L74">
        <f t="shared" ref="L74:L75" si="22">SUM(E74)+(F74*3)*1.03</f>
        <v>909.43666666666672</v>
      </c>
    </row>
    <row r="75" spans="1:18" x14ac:dyDescent="0.25">
      <c r="A75" s="44" t="s">
        <v>61</v>
      </c>
      <c r="B75" s="44">
        <v>3</v>
      </c>
      <c r="C75" s="45">
        <v>5971</v>
      </c>
      <c r="D75" s="45">
        <v>3200</v>
      </c>
      <c r="E75" s="45">
        <v>5542</v>
      </c>
      <c r="F75" s="45">
        <f t="shared" si="21"/>
        <v>615.77777777777783</v>
      </c>
      <c r="G75" s="45"/>
      <c r="H75" s="115">
        <v>0</v>
      </c>
      <c r="I75" s="115">
        <v>7440</v>
      </c>
      <c r="J75" s="116">
        <f t="shared" si="11"/>
        <v>620</v>
      </c>
      <c r="K75" s="101"/>
      <c r="L75">
        <f t="shared" si="22"/>
        <v>7444.753333333334</v>
      </c>
    </row>
    <row r="76" spans="1:18" x14ac:dyDescent="0.25">
      <c r="A76" s="44" t="s">
        <v>62</v>
      </c>
      <c r="B76" s="44">
        <v>3</v>
      </c>
      <c r="C76" s="52">
        <v>54940</v>
      </c>
      <c r="D76" s="52">
        <v>60820</v>
      </c>
      <c r="E76" s="52">
        <v>44602</v>
      </c>
      <c r="F76" s="52">
        <f>E76/9</f>
        <v>4955.7777777777774</v>
      </c>
      <c r="G76" s="52"/>
      <c r="H76" s="142">
        <v>0</v>
      </c>
      <c r="I76" s="142">
        <v>59470</v>
      </c>
      <c r="J76" s="120">
        <f t="shared" si="11"/>
        <v>4955.833333333333</v>
      </c>
      <c r="K76" s="101" t="s">
        <v>350</v>
      </c>
    </row>
    <row r="77" spans="1:18" x14ac:dyDescent="0.25">
      <c r="A77" s="75" t="s">
        <v>85</v>
      </c>
      <c r="B77" s="44"/>
      <c r="C77" s="45">
        <f t="shared" ref="C77:J77" si="23">SUM(C70:C76)</f>
        <v>188905.71000000002</v>
      </c>
      <c r="D77" s="45">
        <f t="shared" si="23"/>
        <v>113850</v>
      </c>
      <c r="E77" s="45">
        <f t="shared" si="23"/>
        <v>85060</v>
      </c>
      <c r="F77" s="45">
        <f>SUM(F70:F76)</f>
        <v>9451.1111111111113</v>
      </c>
      <c r="G77" s="45"/>
      <c r="H77" s="115">
        <f t="shared" si="23"/>
        <v>1221.6000000000001</v>
      </c>
      <c r="I77" s="115">
        <f t="shared" si="23"/>
        <v>118840</v>
      </c>
      <c r="J77" s="116">
        <f t="shared" si="23"/>
        <v>9903.3333333333321</v>
      </c>
      <c r="K77" s="104"/>
    </row>
    <row r="78" spans="1:18" x14ac:dyDescent="0.25">
      <c r="A78" s="75"/>
      <c r="B78" s="44"/>
      <c r="C78" s="45"/>
      <c r="D78" s="45"/>
      <c r="E78" s="45"/>
      <c r="F78" s="45"/>
      <c r="G78" s="45"/>
      <c r="H78" s="115"/>
      <c r="I78" s="115"/>
      <c r="J78" s="116"/>
      <c r="K78" s="104"/>
    </row>
    <row r="79" spans="1:18" x14ac:dyDescent="0.25">
      <c r="A79" s="75" t="s">
        <v>454</v>
      </c>
      <c r="B79" s="44"/>
      <c r="C79" s="45"/>
      <c r="D79" s="45"/>
      <c r="E79" s="45"/>
      <c r="F79" s="45"/>
      <c r="G79" s="45"/>
      <c r="H79" s="115"/>
      <c r="I79" s="115"/>
      <c r="J79" s="116"/>
      <c r="K79" s="104"/>
    </row>
    <row r="80" spans="1:18" x14ac:dyDescent="0.25">
      <c r="A80" s="44" t="s">
        <v>307</v>
      </c>
      <c r="B80" s="44">
        <v>3</v>
      </c>
      <c r="C80" s="45">
        <f>165491.53+325</f>
        <v>165816.53</v>
      </c>
      <c r="D80" s="45">
        <v>55400</v>
      </c>
      <c r="E80" s="45">
        <v>46275</v>
      </c>
      <c r="F80" s="45">
        <f>E80/9</f>
        <v>5141.666666666667</v>
      </c>
      <c r="G80" s="45"/>
      <c r="H80" s="115">
        <v>0</v>
      </c>
      <c r="I80" s="115">
        <v>53790</v>
      </c>
      <c r="J80" s="116">
        <f>I80/12</f>
        <v>4482.5</v>
      </c>
      <c r="K80" s="101" t="s">
        <v>507</v>
      </c>
    </row>
    <row r="81" spans="1:11" x14ac:dyDescent="0.25">
      <c r="A81" s="44" t="s">
        <v>289</v>
      </c>
      <c r="B81" s="44">
        <v>3</v>
      </c>
      <c r="C81" s="52">
        <f>61979.76+32826</f>
        <v>94805.760000000009</v>
      </c>
      <c r="D81" s="52">
        <v>33070</v>
      </c>
      <c r="E81" s="52">
        <v>27451</v>
      </c>
      <c r="F81" s="52">
        <f>E81/9</f>
        <v>3050.1111111111113</v>
      </c>
      <c r="G81" s="52"/>
      <c r="H81" s="142">
        <v>0</v>
      </c>
      <c r="I81" s="142">
        <v>34680</v>
      </c>
      <c r="J81" s="120">
        <f>I81/12</f>
        <v>2890</v>
      </c>
      <c r="K81" s="101" t="s">
        <v>507</v>
      </c>
    </row>
    <row r="82" spans="1:11" x14ac:dyDescent="0.25">
      <c r="A82" s="75" t="s">
        <v>308</v>
      </c>
      <c r="B82" s="44"/>
      <c r="C82" s="45">
        <f>SUM(C80:C81)</f>
        <v>260622.29</v>
      </c>
      <c r="D82" s="45">
        <f t="shared" ref="D82:J82" si="24">SUM(D80:D81)</f>
        <v>88470</v>
      </c>
      <c r="E82" s="45">
        <f t="shared" si="24"/>
        <v>73726</v>
      </c>
      <c r="F82" s="45">
        <f>SUM(F80:F81)</f>
        <v>8191.7777777777783</v>
      </c>
      <c r="G82" s="45"/>
      <c r="H82" s="115">
        <f t="shared" si="24"/>
        <v>0</v>
      </c>
      <c r="I82" s="115">
        <f t="shared" si="24"/>
        <v>88470</v>
      </c>
      <c r="J82" s="116">
        <f t="shared" si="24"/>
        <v>7372.5</v>
      </c>
      <c r="K82" s="101"/>
    </row>
    <row r="83" spans="1:11" x14ac:dyDescent="0.25">
      <c r="A83" s="75"/>
      <c r="B83" s="44"/>
      <c r="C83" s="45"/>
      <c r="D83" s="45"/>
      <c r="E83" s="45"/>
      <c r="F83" s="45"/>
      <c r="G83" s="45"/>
      <c r="H83" s="115"/>
      <c r="I83" s="115"/>
      <c r="J83" s="116"/>
      <c r="K83" s="104"/>
    </row>
    <row r="84" spans="1:11" x14ac:dyDescent="0.25">
      <c r="A84" s="75" t="s">
        <v>78</v>
      </c>
      <c r="B84" s="44"/>
      <c r="C84" s="45"/>
      <c r="D84" s="45"/>
      <c r="E84" s="45"/>
      <c r="F84" s="45"/>
      <c r="G84" s="45"/>
      <c r="H84" s="115"/>
      <c r="I84" s="115"/>
      <c r="J84" s="116"/>
      <c r="K84" s="104"/>
    </row>
    <row r="85" spans="1:11" x14ac:dyDescent="0.25">
      <c r="A85" s="44" t="s">
        <v>309</v>
      </c>
      <c r="B85" s="44">
        <v>3</v>
      </c>
      <c r="C85" s="52">
        <v>37137</v>
      </c>
      <c r="D85" s="52">
        <v>15000</v>
      </c>
      <c r="E85" s="52">
        <v>11250</v>
      </c>
      <c r="F85" s="52">
        <f>E85/9</f>
        <v>1250</v>
      </c>
      <c r="G85" s="52"/>
      <c r="H85" s="142">
        <v>0</v>
      </c>
      <c r="I85" s="142">
        <f t="shared" ref="I85:I91" si="25">D85+H85</f>
        <v>15000</v>
      </c>
      <c r="J85" s="120">
        <f t="shared" si="11"/>
        <v>1250</v>
      </c>
      <c r="K85" s="104"/>
    </row>
    <row r="86" spans="1:11" hidden="1" x14ac:dyDescent="0.25">
      <c r="A86" s="44" t="s">
        <v>227</v>
      </c>
      <c r="B86" s="44">
        <v>3</v>
      </c>
      <c r="C86" s="52">
        <v>0</v>
      </c>
      <c r="D86" s="52">
        <v>0</v>
      </c>
      <c r="E86" s="52">
        <f t="shared" ref="E86:E91" si="26">D86/12</f>
        <v>0</v>
      </c>
      <c r="F86" s="52"/>
      <c r="G86" s="52"/>
      <c r="H86" s="142">
        <f>D86*$M$7</f>
        <v>0</v>
      </c>
      <c r="I86" s="142">
        <f t="shared" si="25"/>
        <v>0</v>
      </c>
      <c r="J86" s="120">
        <f t="shared" si="11"/>
        <v>0</v>
      </c>
      <c r="K86" s="104"/>
    </row>
    <row r="87" spans="1:11" x14ac:dyDescent="0.25">
      <c r="A87" s="75" t="s">
        <v>86</v>
      </c>
      <c r="B87" s="44"/>
      <c r="C87" s="45">
        <f>SUM(C85:C86)</f>
        <v>37137</v>
      </c>
      <c r="D87" s="45">
        <f t="shared" ref="D87:J87" si="27">SUM(D85:D86)</f>
        <v>15000</v>
      </c>
      <c r="E87" s="45">
        <f t="shared" si="27"/>
        <v>11250</v>
      </c>
      <c r="F87" s="45">
        <f>SUM(F85)</f>
        <v>1250</v>
      </c>
      <c r="G87" s="45"/>
      <c r="H87" s="115">
        <f t="shared" si="27"/>
        <v>0</v>
      </c>
      <c r="I87" s="115">
        <f t="shared" si="27"/>
        <v>15000</v>
      </c>
      <c r="J87" s="116">
        <f t="shared" si="27"/>
        <v>1250</v>
      </c>
      <c r="K87" s="104"/>
    </row>
    <row r="88" spans="1:11" x14ac:dyDescent="0.25">
      <c r="A88" s="75"/>
      <c r="B88" s="44"/>
      <c r="C88" s="45"/>
      <c r="D88" s="45"/>
      <c r="E88" s="45"/>
      <c r="F88" s="45"/>
      <c r="G88" s="45"/>
      <c r="H88" s="115"/>
      <c r="I88" s="115"/>
      <c r="J88" s="116"/>
      <c r="K88" s="104"/>
    </row>
    <row r="89" spans="1:11" x14ac:dyDescent="0.25">
      <c r="A89" s="75" t="s">
        <v>453</v>
      </c>
      <c r="B89" s="44"/>
      <c r="C89" s="45"/>
      <c r="D89" s="45"/>
      <c r="E89" s="45"/>
      <c r="F89" s="45"/>
      <c r="G89" s="45"/>
      <c r="H89" s="115"/>
      <c r="I89" s="115"/>
      <c r="J89" s="116"/>
      <c r="K89" s="104"/>
    </row>
    <row r="90" spans="1:11" x14ac:dyDescent="0.25">
      <c r="A90" s="44" t="s">
        <v>310</v>
      </c>
      <c r="B90" s="44">
        <v>3</v>
      </c>
      <c r="C90" s="45">
        <v>0</v>
      </c>
      <c r="D90" s="45">
        <v>0</v>
      </c>
      <c r="E90" s="45">
        <v>0</v>
      </c>
      <c r="F90" s="45">
        <f>E90/9</f>
        <v>0</v>
      </c>
      <c r="G90" s="45"/>
      <c r="H90" s="115">
        <v>0</v>
      </c>
      <c r="I90" s="115">
        <v>40000</v>
      </c>
      <c r="J90" s="116">
        <f t="shared" si="11"/>
        <v>3333.3333333333335</v>
      </c>
      <c r="K90" s="101" t="s">
        <v>319</v>
      </c>
    </row>
    <row r="91" spans="1:11" hidden="1" x14ac:dyDescent="0.25">
      <c r="A91" s="44" t="s">
        <v>311</v>
      </c>
      <c r="B91" s="44">
        <v>3</v>
      </c>
      <c r="C91" s="45">
        <v>0</v>
      </c>
      <c r="D91" s="45">
        <v>0</v>
      </c>
      <c r="E91" s="45">
        <f t="shared" si="26"/>
        <v>0</v>
      </c>
      <c r="F91" s="45">
        <f t="shared" ref="F91:F95" si="28">E91/9</f>
        <v>0</v>
      </c>
      <c r="G91" s="45"/>
      <c r="H91" s="115">
        <f>D91*$M$7</f>
        <v>0</v>
      </c>
      <c r="I91" s="115">
        <f t="shared" si="25"/>
        <v>0</v>
      </c>
      <c r="J91" s="116">
        <f t="shared" si="11"/>
        <v>0</v>
      </c>
      <c r="K91" s="104"/>
    </row>
    <row r="92" spans="1:11" x14ac:dyDescent="0.25">
      <c r="A92" s="44" t="s">
        <v>320</v>
      </c>
      <c r="B92" s="44">
        <v>3</v>
      </c>
      <c r="C92" s="45">
        <v>0</v>
      </c>
      <c r="D92" s="45">
        <v>25000</v>
      </c>
      <c r="E92" s="45">
        <v>1550</v>
      </c>
      <c r="F92" s="45">
        <f t="shared" si="28"/>
        <v>172.22222222222223</v>
      </c>
      <c r="G92" s="45"/>
      <c r="H92" s="115">
        <v>0</v>
      </c>
      <c r="I92" s="115">
        <v>0</v>
      </c>
      <c r="J92" s="116">
        <f t="shared" si="11"/>
        <v>0</v>
      </c>
      <c r="K92" s="101"/>
    </row>
    <row r="93" spans="1:11" hidden="1" x14ac:dyDescent="0.25">
      <c r="A93" s="44" t="s">
        <v>321</v>
      </c>
      <c r="B93" s="44">
        <v>3</v>
      </c>
      <c r="C93" s="45">
        <v>0</v>
      </c>
      <c r="D93" s="45">
        <v>0</v>
      </c>
      <c r="E93" s="45">
        <v>0</v>
      </c>
      <c r="F93" s="45">
        <f t="shared" si="28"/>
        <v>0</v>
      </c>
      <c r="G93" s="45"/>
      <c r="H93" s="115">
        <v>0</v>
      </c>
      <c r="I93" s="115">
        <v>0</v>
      </c>
      <c r="J93" s="116">
        <f t="shared" si="11"/>
        <v>0</v>
      </c>
      <c r="K93" s="101"/>
    </row>
    <row r="94" spans="1:11" hidden="1" x14ac:dyDescent="0.25">
      <c r="A94" s="44" t="s">
        <v>64</v>
      </c>
      <c r="B94" s="44">
        <v>3</v>
      </c>
      <c r="C94" s="45">
        <v>0</v>
      </c>
      <c r="D94" s="45">
        <v>0</v>
      </c>
      <c r="E94" s="45">
        <v>0</v>
      </c>
      <c r="F94" s="45">
        <f t="shared" si="28"/>
        <v>0</v>
      </c>
      <c r="G94" s="45"/>
      <c r="H94" s="115">
        <v>0</v>
      </c>
      <c r="I94" s="115">
        <v>0</v>
      </c>
      <c r="J94" s="116">
        <f t="shared" si="11"/>
        <v>0</v>
      </c>
      <c r="K94" s="101"/>
    </row>
    <row r="95" spans="1:11" hidden="1" x14ac:dyDescent="0.25">
      <c r="A95" s="44" t="s">
        <v>26</v>
      </c>
      <c r="B95" s="44">
        <v>3</v>
      </c>
      <c r="C95" s="45">
        <v>0</v>
      </c>
      <c r="D95" s="45">
        <v>0</v>
      </c>
      <c r="E95" s="45">
        <v>0</v>
      </c>
      <c r="F95" s="45">
        <f t="shared" si="28"/>
        <v>0</v>
      </c>
      <c r="G95" s="45"/>
      <c r="H95" s="115">
        <v>0</v>
      </c>
      <c r="I95" s="115">
        <v>0</v>
      </c>
      <c r="J95" s="116">
        <f t="shared" si="11"/>
        <v>0</v>
      </c>
      <c r="K95" s="101"/>
    </row>
    <row r="96" spans="1:11" x14ac:dyDescent="0.25">
      <c r="A96" s="44" t="s">
        <v>65</v>
      </c>
      <c r="B96" s="44">
        <v>3</v>
      </c>
      <c r="C96" s="52">
        <v>0</v>
      </c>
      <c r="D96" s="52">
        <v>8000</v>
      </c>
      <c r="E96" s="52">
        <v>0</v>
      </c>
      <c r="F96" s="52">
        <f>E96/9</f>
        <v>0</v>
      </c>
      <c r="G96" s="52"/>
      <c r="H96" s="142">
        <f>D96*$M$7</f>
        <v>240</v>
      </c>
      <c r="I96" s="142">
        <v>28000</v>
      </c>
      <c r="J96" s="120">
        <f t="shared" si="11"/>
        <v>2333.3333333333335</v>
      </c>
      <c r="K96" s="101" t="s">
        <v>654</v>
      </c>
    </row>
    <row r="97" spans="1:11" ht="15.75" thickBot="1" x14ac:dyDescent="0.3">
      <c r="A97" s="75" t="s">
        <v>314</v>
      </c>
      <c r="B97" s="44"/>
      <c r="C97" s="45">
        <f>SUM(C84:C96)</f>
        <v>74274</v>
      </c>
      <c r="D97" s="45">
        <f>SUM(D90:D96)</f>
        <v>33000</v>
      </c>
      <c r="E97" s="45">
        <f>SUM(E90:E96)</f>
        <v>1550</v>
      </c>
      <c r="F97" s="45">
        <f>SUM(F90:F96)</f>
        <v>172.22222222222223</v>
      </c>
      <c r="G97" s="45"/>
      <c r="H97" s="97">
        <f>SUM(H84:H96)</f>
        <v>240</v>
      </c>
      <c r="I97" s="97">
        <f>SUM(I90:I96)</f>
        <v>68000</v>
      </c>
      <c r="J97" s="98">
        <f>SUM(J84:J96)</f>
        <v>8166.6666666666679</v>
      </c>
      <c r="K97" s="101"/>
    </row>
    <row r="98" spans="1:11" x14ac:dyDescent="0.25">
      <c r="A98" s="44"/>
      <c r="B98" s="44"/>
      <c r="C98" s="44"/>
      <c r="D98" s="44"/>
      <c r="E98" s="44"/>
      <c r="F98" s="44"/>
      <c r="G98" s="44"/>
      <c r="H98" s="158"/>
      <c r="I98" s="158"/>
      <c r="J98" s="158"/>
      <c r="K98" s="104"/>
    </row>
  </sheetData>
  <customSheetViews>
    <customSheetView guid="{D54A66AC-88E3-46FB-AFE3-2E559F565FEB}" scale="80" hiddenRows="1" hiddenColumns="1">
      <pane xSplit="2" ySplit="5" topLeftCell="D25" activePane="bottomRight" state="frozen"/>
      <selection pane="bottomRight" activeCell="K46" sqref="K46"/>
      <pageMargins left="0.75" right="0.75" top="1" bottom="1" header="0.5" footer="0.5"/>
      <pageSetup scale="44" fitToHeight="2" orientation="portrait" r:id="rId1"/>
      <headerFooter alignWithMargins="0"/>
    </customSheetView>
  </customSheetViews>
  <pageMargins left="0.75" right="0.75" top="1" bottom="1" header="0.5" footer="0.5"/>
  <pageSetup scale="44" fitToHeight="2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topLeftCell="A32" zoomScale="90" zoomScaleNormal="90" workbookViewId="0">
      <selection activeCell="L1" sqref="L1:N1048576"/>
    </sheetView>
  </sheetViews>
  <sheetFormatPr defaultRowHeight="15" x14ac:dyDescent="0.25"/>
  <cols>
    <col min="1" max="1" width="47.28515625" bestFit="1" customWidth="1"/>
    <col min="2" max="2" width="9.140625" hidden="1" customWidth="1"/>
    <col min="3" max="3" width="12.85546875" hidden="1" customWidth="1"/>
    <col min="4" max="4" width="17" customWidth="1"/>
    <col min="5" max="5" width="15.140625" bestFit="1" customWidth="1"/>
    <col min="6" max="6" width="12.42578125" customWidth="1"/>
    <col min="7" max="7" width="3.5703125" customWidth="1"/>
    <col min="8" max="8" width="9.28515625" hidden="1" customWidth="1"/>
    <col min="9" max="9" width="24.28515625" customWidth="1"/>
    <col min="10" max="10" width="13" bestFit="1" customWidth="1"/>
    <col min="11" max="11" width="29.85546875" customWidth="1"/>
    <col min="12" max="12" width="0" hidden="1" customWidth="1"/>
    <col min="13" max="13" width="22.42578125" hidden="1" customWidth="1"/>
    <col min="14" max="14" width="0" hidden="1" customWidth="1"/>
  </cols>
  <sheetData>
    <row r="1" spans="1:14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'Mtn View'!I1:J1</f>
        <v>Projected Annual Budget 2017</v>
      </c>
      <c r="J1" s="125"/>
      <c r="K1" s="108"/>
    </row>
    <row r="2" spans="1:14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2"/>
    </row>
    <row r="3" spans="1:14" ht="21" thickBot="1" x14ac:dyDescent="0.35">
      <c r="A3" s="99" t="s">
        <v>574</v>
      </c>
      <c r="B3" s="104"/>
      <c r="C3" s="104"/>
      <c r="D3" s="109"/>
      <c r="E3" s="104"/>
      <c r="F3" s="104"/>
      <c r="G3" s="104"/>
      <c r="H3" s="104"/>
      <c r="I3" s="110"/>
      <c r="J3" s="95"/>
      <c r="K3" s="102"/>
    </row>
    <row r="4" spans="1:14" ht="45.75" thickBot="1" x14ac:dyDescent="0.3">
      <c r="A4" s="39" t="s">
        <v>71</v>
      </c>
      <c r="B4" s="39" t="s">
        <v>72</v>
      </c>
      <c r="C4" s="39" t="s">
        <v>73</v>
      </c>
      <c r="D4" s="40" t="str">
        <f>'Mtn View'!D4</f>
        <v>2016 Annual Budget</v>
      </c>
      <c r="E4" s="40" t="str">
        <f>'Mtn View'!E4</f>
        <v>YTD Actual FY 2016 @ 9/30/16</v>
      </c>
      <c r="F4" s="40" t="str">
        <f>'Mtn View'!F4</f>
        <v>FY 2016 - 9 month Avg</v>
      </c>
      <c r="G4" s="126"/>
      <c r="H4" s="111"/>
      <c r="I4" s="127" t="s">
        <v>427</v>
      </c>
      <c r="J4" s="113" t="s">
        <v>428</v>
      </c>
      <c r="K4" s="104"/>
      <c r="M4" s="22"/>
      <c r="N4" s="21"/>
    </row>
    <row r="5" spans="1:14" x14ac:dyDescent="0.25">
      <c r="A5" s="44" t="s">
        <v>260</v>
      </c>
      <c r="B5" s="44">
        <v>3</v>
      </c>
      <c r="C5" s="45">
        <f>-300+9</f>
        <v>-291</v>
      </c>
      <c r="D5" s="46">
        <v>20000</v>
      </c>
      <c r="E5" s="46">
        <v>15673</v>
      </c>
      <c r="F5" s="46">
        <f>E5/9</f>
        <v>1741.4444444444443</v>
      </c>
      <c r="G5" s="46"/>
      <c r="H5" s="47">
        <v>0</v>
      </c>
      <c r="I5" s="47">
        <v>20000</v>
      </c>
      <c r="J5" s="49">
        <f t="shared" ref="J5:J14" si="0">I5/12</f>
        <v>1666.6666666666667</v>
      </c>
      <c r="K5" s="104"/>
      <c r="M5" s="36">
        <v>0.03</v>
      </c>
      <c r="N5" s="23"/>
    </row>
    <row r="6" spans="1:14" x14ac:dyDescent="0.25">
      <c r="A6" s="44" t="s">
        <v>35</v>
      </c>
      <c r="B6" s="44"/>
      <c r="C6" s="45"/>
      <c r="D6" s="46">
        <v>250</v>
      </c>
      <c r="E6" s="46">
        <v>239</v>
      </c>
      <c r="F6" s="46">
        <f t="shared" ref="F6:F13" si="1">E6/9</f>
        <v>26.555555555555557</v>
      </c>
      <c r="G6" s="46"/>
      <c r="H6" s="50"/>
      <c r="I6" s="50">
        <v>250</v>
      </c>
      <c r="J6" s="51">
        <f t="shared" si="0"/>
        <v>20.833333333333332</v>
      </c>
      <c r="K6" s="104"/>
      <c r="M6" s="36"/>
      <c r="N6" s="23"/>
    </row>
    <row r="7" spans="1:14" x14ac:dyDescent="0.25">
      <c r="A7" s="44" t="s">
        <v>261</v>
      </c>
      <c r="B7" s="44">
        <v>3</v>
      </c>
      <c r="C7" s="45">
        <f>-262531.71+160881</f>
        <v>-101650.71000000002</v>
      </c>
      <c r="D7" s="46">
        <v>200000</v>
      </c>
      <c r="E7" s="46">
        <v>140901</v>
      </c>
      <c r="F7" s="46">
        <f t="shared" si="1"/>
        <v>15655.666666666666</v>
      </c>
      <c r="G7" s="46"/>
      <c r="H7" s="50">
        <v>0</v>
      </c>
      <c r="I7" s="50">
        <v>237820</v>
      </c>
      <c r="J7" s="51">
        <f t="shared" si="0"/>
        <v>19818.333333333332</v>
      </c>
      <c r="K7" s="104"/>
    </row>
    <row r="8" spans="1:14" x14ac:dyDescent="0.25">
      <c r="A8" s="44" t="s">
        <v>583</v>
      </c>
      <c r="B8" s="44">
        <v>3</v>
      </c>
      <c r="C8" s="45">
        <v>-207087.72</v>
      </c>
      <c r="D8" s="46">
        <v>55000</v>
      </c>
      <c r="E8" s="46">
        <v>26634</v>
      </c>
      <c r="F8" s="46">
        <f t="shared" si="1"/>
        <v>2959.3333333333335</v>
      </c>
      <c r="G8" s="46"/>
      <c r="H8" s="50">
        <v>0</v>
      </c>
      <c r="I8" s="50">
        <v>75000</v>
      </c>
      <c r="J8" s="51">
        <f t="shared" si="0"/>
        <v>6250</v>
      </c>
      <c r="K8" s="104"/>
    </row>
    <row r="9" spans="1:14" x14ac:dyDescent="0.25">
      <c r="A9" s="44" t="s">
        <v>262</v>
      </c>
      <c r="B9" s="44">
        <v>3</v>
      </c>
      <c r="C9" s="45">
        <f>-7065.15-6974</f>
        <v>-14039.15</v>
      </c>
      <c r="D9" s="46">
        <v>70000</v>
      </c>
      <c r="E9" s="46">
        <v>64291</v>
      </c>
      <c r="F9" s="46">
        <f t="shared" si="1"/>
        <v>7143.4444444444443</v>
      </c>
      <c r="G9" s="46"/>
      <c r="H9" s="50">
        <v>0</v>
      </c>
      <c r="I9" s="50">
        <v>66000</v>
      </c>
      <c r="J9" s="51">
        <f t="shared" si="0"/>
        <v>5500</v>
      </c>
      <c r="K9" s="104"/>
    </row>
    <row r="10" spans="1:14" x14ac:dyDescent="0.25">
      <c r="A10" s="44" t="s">
        <v>584</v>
      </c>
      <c r="B10" s="44">
        <v>3</v>
      </c>
      <c r="C10" s="45">
        <f>-98021.33-10037</f>
        <v>-108058.33</v>
      </c>
      <c r="D10" s="46">
        <v>70000</v>
      </c>
      <c r="E10" s="46">
        <v>36368</v>
      </c>
      <c r="F10" s="46">
        <f t="shared" si="1"/>
        <v>4040.8888888888887</v>
      </c>
      <c r="G10" s="46"/>
      <c r="H10" s="50">
        <v>0</v>
      </c>
      <c r="I10" s="50">
        <v>175000</v>
      </c>
      <c r="J10" s="51">
        <f t="shared" si="0"/>
        <v>14583.333333333334</v>
      </c>
      <c r="K10" s="104"/>
    </row>
    <row r="11" spans="1:14" x14ac:dyDescent="0.25">
      <c r="A11" s="44" t="s">
        <v>263</v>
      </c>
      <c r="B11" s="44">
        <v>3</v>
      </c>
      <c r="C11" s="45">
        <v>0</v>
      </c>
      <c r="D11" s="46">
        <v>85000</v>
      </c>
      <c r="E11" s="46">
        <v>64636</v>
      </c>
      <c r="F11" s="46">
        <f t="shared" si="1"/>
        <v>7181.7777777777774</v>
      </c>
      <c r="G11" s="46"/>
      <c r="H11" s="50">
        <v>0</v>
      </c>
      <c r="I11" s="50">
        <v>85000</v>
      </c>
      <c r="J11" s="51">
        <f t="shared" si="0"/>
        <v>7083.333333333333</v>
      </c>
      <c r="K11" s="104"/>
    </row>
    <row r="12" spans="1:14" x14ac:dyDescent="0.25">
      <c r="A12" s="44" t="s">
        <v>264</v>
      </c>
      <c r="B12" s="44">
        <v>3</v>
      </c>
      <c r="C12" s="45">
        <f>-248516.58+85119</f>
        <v>-163397.57999999999</v>
      </c>
      <c r="D12" s="46">
        <v>12000</v>
      </c>
      <c r="E12" s="46">
        <v>8373</v>
      </c>
      <c r="F12" s="46">
        <f t="shared" si="1"/>
        <v>930.33333333333337</v>
      </c>
      <c r="G12" s="46"/>
      <c r="H12" s="50">
        <v>0</v>
      </c>
      <c r="I12" s="50">
        <v>1300</v>
      </c>
      <c r="J12" s="51">
        <f t="shared" si="0"/>
        <v>108.33333333333333</v>
      </c>
      <c r="K12" s="104"/>
    </row>
    <row r="13" spans="1:14" x14ac:dyDescent="0.25">
      <c r="A13" s="44" t="s">
        <v>265</v>
      </c>
      <c r="B13" s="44">
        <v>3</v>
      </c>
      <c r="C13" s="45">
        <v>-3145.4133333333334</v>
      </c>
      <c r="D13" s="46">
        <v>4000</v>
      </c>
      <c r="E13" s="46">
        <v>0</v>
      </c>
      <c r="F13" s="46">
        <f t="shared" si="1"/>
        <v>0</v>
      </c>
      <c r="G13" s="46"/>
      <c r="H13" s="50">
        <v>0</v>
      </c>
      <c r="I13" s="50">
        <v>5000</v>
      </c>
      <c r="J13" s="51">
        <f t="shared" si="0"/>
        <v>416.66666666666669</v>
      </c>
      <c r="K13" s="104"/>
    </row>
    <row r="14" spans="1:14" x14ac:dyDescent="0.25">
      <c r="A14" s="44" t="s">
        <v>266</v>
      </c>
      <c r="B14" s="44">
        <v>3</v>
      </c>
      <c r="C14" s="52">
        <f>-826629.24+200013</f>
        <v>-626616.24</v>
      </c>
      <c r="D14" s="53">
        <v>60</v>
      </c>
      <c r="E14" s="53">
        <v>80</v>
      </c>
      <c r="F14" s="53">
        <f>E14/9</f>
        <v>8.8888888888888893</v>
      </c>
      <c r="G14" s="46"/>
      <c r="H14" s="54">
        <v>0</v>
      </c>
      <c r="I14" s="54">
        <v>80</v>
      </c>
      <c r="J14" s="56">
        <f t="shared" si="0"/>
        <v>6.666666666666667</v>
      </c>
      <c r="K14" s="104"/>
    </row>
    <row r="15" spans="1:14" x14ac:dyDescent="0.25">
      <c r="A15" s="44" t="s">
        <v>75</v>
      </c>
      <c r="B15" s="44"/>
      <c r="C15" s="45">
        <f>SUM(C5:C14)</f>
        <v>-1224286.1433333335</v>
      </c>
      <c r="D15" s="46">
        <f t="shared" ref="D15:E15" si="2">SUM(D5:D14)</f>
        <v>516310</v>
      </c>
      <c r="E15" s="46">
        <f t="shared" si="2"/>
        <v>357195</v>
      </c>
      <c r="F15" s="46">
        <f>SUM(F5:F14)</f>
        <v>39688.333333333336</v>
      </c>
      <c r="G15" s="46"/>
      <c r="H15" s="50">
        <v>0</v>
      </c>
      <c r="I15" s="50">
        <f>SUM(I5:I14)</f>
        <v>665450</v>
      </c>
      <c r="J15" s="51">
        <f>SUM(J5:J14)</f>
        <v>55454.166666666664</v>
      </c>
      <c r="K15" s="101"/>
    </row>
    <row r="16" spans="1:14" x14ac:dyDescent="0.25">
      <c r="A16" s="44"/>
      <c r="B16" s="44"/>
      <c r="C16" s="45"/>
      <c r="D16" s="46"/>
      <c r="E16" s="46"/>
      <c r="F16" s="46"/>
      <c r="G16" s="46"/>
      <c r="H16" s="50"/>
      <c r="I16" s="50"/>
      <c r="J16" s="51"/>
      <c r="K16" s="101"/>
    </row>
    <row r="17" spans="1:12" x14ac:dyDescent="0.25">
      <c r="A17" s="44" t="s">
        <v>76</v>
      </c>
      <c r="B17" s="44"/>
      <c r="C17" s="45">
        <f>C39</f>
        <v>822407.82000000007</v>
      </c>
      <c r="D17" s="46">
        <f>-D39</f>
        <v>-272010.38926666667</v>
      </c>
      <c r="E17" s="46">
        <f>-E39</f>
        <v>-243535</v>
      </c>
      <c r="F17" s="46">
        <f>E17/9</f>
        <v>-27059.444444444445</v>
      </c>
      <c r="G17" s="46"/>
      <c r="H17" s="50">
        <v>0</v>
      </c>
      <c r="I17" s="50">
        <f>-I39</f>
        <v>-348950.13586666668</v>
      </c>
      <c r="J17" s="51">
        <f>-J39</f>
        <v>-29079.177988888892</v>
      </c>
      <c r="K17" s="106"/>
      <c r="L17" s="24"/>
    </row>
    <row r="18" spans="1:12" x14ac:dyDescent="0.25">
      <c r="A18" s="44" t="s">
        <v>88</v>
      </c>
      <c r="B18" s="44"/>
      <c r="C18" s="45">
        <f>C49</f>
        <v>619456.76</v>
      </c>
      <c r="D18" s="46">
        <f>-D49</f>
        <v>-201070</v>
      </c>
      <c r="E18" s="46">
        <f>-E49</f>
        <v>-224245</v>
      </c>
      <c r="F18" s="46">
        <f>E18/9</f>
        <v>-24916.111111111109</v>
      </c>
      <c r="G18" s="46"/>
      <c r="H18" s="60">
        <v>0</v>
      </c>
      <c r="I18" s="50">
        <f>-I49</f>
        <v>-250500</v>
      </c>
      <c r="J18" s="51">
        <f>-J49</f>
        <v>-17723.346188888885</v>
      </c>
      <c r="K18" s="106"/>
    </row>
    <row r="19" spans="1:12" x14ac:dyDescent="0.25">
      <c r="A19" s="44" t="s">
        <v>77</v>
      </c>
      <c r="B19" s="44"/>
      <c r="C19" s="45">
        <f>C61</f>
        <v>2912.36</v>
      </c>
      <c r="D19" s="46">
        <f>-D62</f>
        <v>-43230</v>
      </c>
      <c r="E19" s="46">
        <f>-E62</f>
        <v>-37739</v>
      </c>
      <c r="F19" s="46">
        <f>E19/9</f>
        <v>-4193.2222222222226</v>
      </c>
      <c r="G19" s="46"/>
      <c r="H19" s="50">
        <v>0</v>
      </c>
      <c r="I19" s="50">
        <f>-I62</f>
        <v>-64500</v>
      </c>
      <c r="J19" s="51">
        <f>-J62</f>
        <v>-3632.4943645833332</v>
      </c>
      <c r="K19" s="106"/>
    </row>
    <row r="20" spans="1:12" x14ac:dyDescent="0.25">
      <c r="A20" s="44" t="s">
        <v>79</v>
      </c>
      <c r="B20" s="63"/>
      <c r="C20" s="52">
        <f>C68</f>
        <v>4369</v>
      </c>
      <c r="D20" s="53">
        <f>-D68</f>
        <v>0</v>
      </c>
      <c r="E20" s="52">
        <v>0</v>
      </c>
      <c r="F20" s="53">
        <f>E20/9</f>
        <v>0</v>
      </c>
      <c r="G20" s="46"/>
      <c r="H20" s="83">
        <v>0</v>
      </c>
      <c r="I20" s="54">
        <f>-I68</f>
        <v>-1500</v>
      </c>
      <c r="J20" s="56">
        <f>-J68</f>
        <v>-125</v>
      </c>
      <c r="K20" s="106"/>
    </row>
    <row r="21" spans="1:12" x14ac:dyDescent="0.25">
      <c r="A21" s="44" t="s">
        <v>80</v>
      </c>
      <c r="B21" s="44"/>
      <c r="C21" s="52">
        <f>SUM(C17:C20)</f>
        <v>1449145.9400000002</v>
      </c>
      <c r="D21" s="141">
        <f>SUM(D17:D20)</f>
        <v>-516310.38926666667</v>
      </c>
      <c r="E21" s="141">
        <f>SUM(E17:E20)</f>
        <v>-505519</v>
      </c>
      <c r="F21" s="141">
        <f>SUM(F17:F20)</f>
        <v>-56168.777777777781</v>
      </c>
      <c r="G21" s="46"/>
      <c r="H21" s="83">
        <f>SUM(H17:H20)</f>
        <v>0</v>
      </c>
      <c r="I21" s="54">
        <f>SUM(I17:I20)</f>
        <v>-665450.13586666668</v>
      </c>
      <c r="J21" s="56">
        <f>SUM(J17:J20)</f>
        <v>-50560.018542361111</v>
      </c>
      <c r="K21" s="106"/>
    </row>
    <row r="22" spans="1:12" x14ac:dyDescent="0.25">
      <c r="A22" s="44"/>
      <c r="B22" s="44"/>
      <c r="C22" s="45"/>
      <c r="D22" s="45"/>
      <c r="E22" s="45"/>
      <c r="F22" s="45"/>
      <c r="G22" s="46"/>
      <c r="H22" s="80"/>
      <c r="I22" s="80"/>
      <c r="J22" s="82"/>
      <c r="K22" s="106"/>
    </row>
    <row r="23" spans="1:12" ht="15.75" thickBot="1" x14ac:dyDescent="0.3">
      <c r="A23" s="69" t="s">
        <v>550</v>
      </c>
      <c r="B23" s="70"/>
      <c r="C23" s="71">
        <f>SUM(-C12-C21)</f>
        <v>-1285748.3600000001</v>
      </c>
      <c r="D23" s="72">
        <f>SUM(D15+D21)+D74</f>
        <v>-0.38926666666520759</v>
      </c>
      <c r="E23" s="72">
        <f>SUM(E15+E21)+E74</f>
        <v>-148324</v>
      </c>
      <c r="F23" s="72">
        <f>SUM(F15+F21)+F74</f>
        <v>-16480.444444444445</v>
      </c>
      <c r="G23" s="46"/>
      <c r="H23" s="73">
        <f>SUM(-H12-H21)</f>
        <v>0</v>
      </c>
      <c r="I23" s="73">
        <f>SUM(I15+I21)+I74</f>
        <v>-0.13586666667833924</v>
      </c>
      <c r="J23" s="74">
        <f>SUM(J15+J21)+J74</f>
        <v>4894.1481243055532</v>
      </c>
      <c r="K23" s="107"/>
    </row>
    <row r="24" spans="1:12" x14ac:dyDescent="0.25">
      <c r="A24" s="75" t="s">
        <v>449</v>
      </c>
      <c r="B24" s="44"/>
      <c r="C24" s="45"/>
      <c r="D24" s="45"/>
      <c r="E24" s="45"/>
      <c r="F24" s="45"/>
      <c r="G24" s="46"/>
      <c r="H24" s="80"/>
      <c r="I24" s="80"/>
      <c r="J24" s="82"/>
      <c r="K24" s="107"/>
    </row>
    <row r="25" spans="1:12" x14ac:dyDescent="0.25">
      <c r="A25" s="44" t="s">
        <v>39</v>
      </c>
      <c r="B25" s="44">
        <v>3</v>
      </c>
      <c r="C25" s="45">
        <f>285061.2+14123</f>
        <v>299184.2</v>
      </c>
      <c r="D25" s="45">
        <v>85000</v>
      </c>
      <c r="E25" s="45">
        <v>49661</v>
      </c>
      <c r="F25" s="45">
        <f>E25/9</f>
        <v>5517.8888888888887</v>
      </c>
      <c r="G25" s="45"/>
      <c r="H25" s="80">
        <v>2991.8419999999996</v>
      </c>
      <c r="I25" s="80">
        <v>95980</v>
      </c>
      <c r="J25" s="82">
        <f t="shared" ref="J25:J38" si="3">I25/12</f>
        <v>7998.333333333333</v>
      </c>
      <c r="K25" s="104"/>
      <c r="L25">
        <f t="shared" ref="L25:L27" si="4">SUM(E25)+(F25*3)*1.03</f>
        <v>66711.276666666672</v>
      </c>
    </row>
    <row r="26" spans="1:12" x14ac:dyDescent="0.25">
      <c r="A26" s="44" t="s">
        <v>267</v>
      </c>
      <c r="B26" s="44">
        <v>3</v>
      </c>
      <c r="C26" s="45">
        <f>1081.32+5327</f>
        <v>6408.32</v>
      </c>
      <c r="D26" s="45">
        <v>8030</v>
      </c>
      <c r="E26" s="45">
        <v>3473</v>
      </c>
      <c r="F26" s="45">
        <f t="shared" ref="F26:F37" si="5">E26/9</f>
        <v>385.88888888888891</v>
      </c>
      <c r="G26" s="45"/>
      <c r="H26" s="80">
        <v>0</v>
      </c>
      <c r="I26" s="80">
        <v>10900</v>
      </c>
      <c r="J26" s="82">
        <f t="shared" si="3"/>
        <v>908.33333333333337</v>
      </c>
      <c r="K26" s="104"/>
      <c r="L26">
        <f t="shared" si="4"/>
        <v>4665.3966666666665</v>
      </c>
    </row>
    <row r="27" spans="1:12" x14ac:dyDescent="0.25">
      <c r="A27" s="44" t="s">
        <v>268</v>
      </c>
      <c r="B27" s="44"/>
      <c r="C27" s="45">
        <v>0</v>
      </c>
      <c r="D27" s="45">
        <v>12410</v>
      </c>
      <c r="E27" s="45">
        <v>5868</v>
      </c>
      <c r="F27" s="45">
        <f t="shared" si="5"/>
        <v>652</v>
      </c>
      <c r="G27" s="45"/>
      <c r="H27" s="80">
        <v>0</v>
      </c>
      <c r="I27" s="80">
        <v>12350</v>
      </c>
      <c r="J27" s="82">
        <f t="shared" si="3"/>
        <v>1029.1666666666667</v>
      </c>
      <c r="K27" s="104"/>
      <c r="L27">
        <f t="shared" si="4"/>
        <v>7882.68</v>
      </c>
    </row>
    <row r="28" spans="1:12" x14ac:dyDescent="0.25">
      <c r="A28" s="44" t="s">
        <v>554</v>
      </c>
      <c r="B28" s="44"/>
      <c r="C28" s="45"/>
      <c r="D28" s="45">
        <v>0</v>
      </c>
      <c r="E28" s="45">
        <v>20963</v>
      </c>
      <c r="F28" s="45">
        <f t="shared" si="5"/>
        <v>2329.2222222222222</v>
      </c>
      <c r="G28" s="45"/>
      <c r="H28" s="80"/>
      <c r="I28" s="80">
        <v>38140</v>
      </c>
      <c r="J28" s="82">
        <f t="shared" si="3"/>
        <v>3178.3333333333335</v>
      </c>
      <c r="K28" s="104"/>
      <c r="L28">
        <f t="shared" ref="L28:L31" si="6">SUM(E28)+(F28*3)*1.03</f>
        <v>28160.296666666665</v>
      </c>
    </row>
    <row r="29" spans="1:12" x14ac:dyDescent="0.25">
      <c r="A29" s="44" t="s">
        <v>40</v>
      </c>
      <c r="B29" s="44">
        <v>3</v>
      </c>
      <c r="C29" s="45">
        <f>571.92+11</f>
        <v>582.91999999999996</v>
      </c>
      <c r="D29" s="45">
        <v>450</v>
      </c>
      <c r="E29" s="45">
        <v>30</v>
      </c>
      <c r="F29" s="45">
        <f t="shared" si="5"/>
        <v>3.3333333333333335</v>
      </c>
      <c r="G29" s="45"/>
      <c r="H29" s="80">
        <v>0</v>
      </c>
      <c r="I29" s="80">
        <v>200.13586666666663</v>
      </c>
      <c r="J29" s="82">
        <f t="shared" si="3"/>
        <v>16.677988888888887</v>
      </c>
      <c r="K29" s="104"/>
      <c r="L29">
        <f t="shared" si="6"/>
        <v>40.299999999999997</v>
      </c>
    </row>
    <row r="30" spans="1:12" x14ac:dyDescent="0.25">
      <c r="A30" s="44" t="s">
        <v>41</v>
      </c>
      <c r="B30" s="44">
        <v>3</v>
      </c>
      <c r="C30" s="45">
        <f>2158.4-3</f>
        <v>2155.4</v>
      </c>
      <c r="D30" s="45">
        <v>700</v>
      </c>
      <c r="E30" s="45">
        <v>478</v>
      </c>
      <c r="F30" s="45">
        <f t="shared" si="5"/>
        <v>53.111111111111114</v>
      </c>
      <c r="G30" s="45"/>
      <c r="H30" s="80">
        <v>0</v>
      </c>
      <c r="I30" s="80">
        <v>640</v>
      </c>
      <c r="J30" s="82">
        <f t="shared" si="3"/>
        <v>53.333333333333336</v>
      </c>
      <c r="K30" s="104"/>
      <c r="L30">
        <f t="shared" si="6"/>
        <v>642.11333333333334</v>
      </c>
    </row>
    <row r="31" spans="1:12" hidden="1" x14ac:dyDescent="0.25">
      <c r="A31" s="44" t="s">
        <v>270</v>
      </c>
      <c r="B31" s="44"/>
      <c r="C31" s="45"/>
      <c r="D31" s="45">
        <v>0</v>
      </c>
      <c r="E31" s="45">
        <f t="shared" ref="E31" si="7">D31/12</f>
        <v>0</v>
      </c>
      <c r="F31" s="45">
        <f t="shared" si="5"/>
        <v>0</v>
      </c>
      <c r="G31" s="45"/>
      <c r="H31" s="80">
        <v>0</v>
      </c>
      <c r="I31" s="80">
        <v>0</v>
      </c>
      <c r="J31" s="82">
        <f t="shared" si="3"/>
        <v>0</v>
      </c>
      <c r="K31" s="104"/>
      <c r="L31">
        <f t="shared" si="6"/>
        <v>0</v>
      </c>
    </row>
    <row r="32" spans="1:12" x14ac:dyDescent="0.25">
      <c r="A32" s="44" t="s">
        <v>43</v>
      </c>
      <c r="B32" s="44">
        <v>3</v>
      </c>
      <c r="C32" s="45">
        <f>903.26+1427</f>
        <v>2330.2600000000002</v>
      </c>
      <c r="D32" s="45">
        <v>1640</v>
      </c>
      <c r="E32" s="45">
        <v>2260</v>
      </c>
      <c r="F32" s="45">
        <f t="shared" si="5"/>
        <v>251.11111111111111</v>
      </c>
      <c r="G32" s="45"/>
      <c r="H32" s="80">
        <v>23.302600000000002</v>
      </c>
      <c r="I32" s="80">
        <v>3000</v>
      </c>
      <c r="J32" s="82">
        <f t="shared" si="3"/>
        <v>250</v>
      </c>
      <c r="K32" s="104"/>
      <c r="L32">
        <f t="shared" ref="L32:L48" si="8">SUM(E32)+(F32*3)*1.03</f>
        <v>3035.9333333333334</v>
      </c>
    </row>
    <row r="33" spans="1:12" x14ac:dyDescent="0.25">
      <c r="A33" s="44" t="s">
        <v>44</v>
      </c>
      <c r="B33" s="44">
        <v>3</v>
      </c>
      <c r="C33" s="118">
        <f>6675.83-851</f>
        <v>5824.83</v>
      </c>
      <c r="D33" s="45">
        <v>0</v>
      </c>
      <c r="E33" s="45">
        <v>80</v>
      </c>
      <c r="F33" s="46">
        <f t="shared" si="5"/>
        <v>8.8888888888888893</v>
      </c>
      <c r="G33" s="45"/>
      <c r="H33" s="115">
        <f t="shared" ref="H33" si="9">D33*$N$9</f>
        <v>0</v>
      </c>
      <c r="I33" s="115">
        <v>100</v>
      </c>
      <c r="J33" s="116">
        <f t="shared" si="3"/>
        <v>8.3333333333333339</v>
      </c>
      <c r="K33" s="104"/>
      <c r="L33">
        <f t="shared" si="8"/>
        <v>107.46666666666667</v>
      </c>
    </row>
    <row r="34" spans="1:12" x14ac:dyDescent="0.25">
      <c r="A34" s="44" t="s">
        <v>271</v>
      </c>
      <c r="B34" s="44">
        <v>3</v>
      </c>
      <c r="C34" s="45">
        <f>5733.33+1315</f>
        <v>7048.33</v>
      </c>
      <c r="D34" s="45">
        <v>4350</v>
      </c>
      <c r="E34" s="45">
        <v>3447</v>
      </c>
      <c r="F34" s="45">
        <f t="shared" si="5"/>
        <v>383</v>
      </c>
      <c r="G34" s="45"/>
      <c r="H34" s="80">
        <v>70.483299999999986</v>
      </c>
      <c r="I34" s="80">
        <v>4500</v>
      </c>
      <c r="J34" s="82">
        <f t="shared" si="3"/>
        <v>375</v>
      </c>
      <c r="K34" s="104"/>
      <c r="L34">
        <f t="shared" si="8"/>
        <v>4630.47</v>
      </c>
    </row>
    <row r="35" spans="1:12" x14ac:dyDescent="0.25">
      <c r="A35" s="44" t="s">
        <v>245</v>
      </c>
      <c r="B35" s="44">
        <v>3</v>
      </c>
      <c r="C35" s="45">
        <f>3603.21+620</f>
        <v>4223.21</v>
      </c>
      <c r="D35" s="45">
        <v>1770</v>
      </c>
      <c r="E35" s="45">
        <v>637</v>
      </c>
      <c r="F35" s="45">
        <f t="shared" si="5"/>
        <v>70.777777777777771</v>
      </c>
      <c r="G35" s="45"/>
      <c r="H35" s="80">
        <v>42.232099999999996</v>
      </c>
      <c r="I35" s="80">
        <v>700</v>
      </c>
      <c r="J35" s="82">
        <f t="shared" si="3"/>
        <v>58.333333333333336</v>
      </c>
      <c r="K35" s="101"/>
      <c r="L35">
        <f t="shared" si="8"/>
        <v>855.70333333333338</v>
      </c>
    </row>
    <row r="36" spans="1:12" x14ac:dyDescent="0.25">
      <c r="A36" s="44" t="s">
        <v>272</v>
      </c>
      <c r="B36" s="44">
        <v>3</v>
      </c>
      <c r="C36" s="45">
        <f>5738.53+3231</f>
        <v>8969.5299999999988</v>
      </c>
      <c r="D36" s="45">
        <v>2650</v>
      </c>
      <c r="E36" s="45">
        <v>1465</v>
      </c>
      <c r="F36" s="45">
        <f t="shared" si="5"/>
        <v>162.77777777777777</v>
      </c>
      <c r="G36" s="45"/>
      <c r="H36" s="80">
        <v>89.695299999999975</v>
      </c>
      <c r="I36" s="80">
        <v>2200</v>
      </c>
      <c r="J36" s="82">
        <f t="shared" si="3"/>
        <v>183.33333333333334</v>
      </c>
      <c r="K36" s="104"/>
      <c r="L36">
        <f t="shared" si="8"/>
        <v>1967.9833333333333</v>
      </c>
    </row>
    <row r="37" spans="1:12" x14ac:dyDescent="0.25">
      <c r="A37" s="44" t="s">
        <v>273</v>
      </c>
      <c r="B37" s="44">
        <v>3</v>
      </c>
      <c r="C37" s="45">
        <f>19.26+11</f>
        <v>30.26</v>
      </c>
      <c r="D37" s="45">
        <v>10.389266666666668</v>
      </c>
      <c r="E37" s="45">
        <v>0</v>
      </c>
      <c r="F37" s="45">
        <f t="shared" si="5"/>
        <v>0</v>
      </c>
      <c r="G37" s="45"/>
      <c r="H37" s="80">
        <v>0.30260000000000004</v>
      </c>
      <c r="I37" s="80">
        <v>0</v>
      </c>
      <c r="J37" s="82">
        <f t="shared" si="3"/>
        <v>0</v>
      </c>
      <c r="K37" s="104"/>
      <c r="L37">
        <f t="shared" si="8"/>
        <v>0</v>
      </c>
    </row>
    <row r="38" spans="1:12" x14ac:dyDescent="0.25">
      <c r="A38" s="44" t="s">
        <v>274</v>
      </c>
      <c r="B38" s="44">
        <v>3</v>
      </c>
      <c r="C38" s="52">
        <f>215645.56+270005</f>
        <v>485650.56</v>
      </c>
      <c r="D38" s="52">
        <v>155000</v>
      </c>
      <c r="E38" s="52">
        <v>155173</v>
      </c>
      <c r="F38" s="52">
        <f>E38/9</f>
        <v>17241.444444444445</v>
      </c>
      <c r="G38" s="45"/>
      <c r="H38" s="83">
        <v>4856.5055999999995</v>
      </c>
      <c r="I38" s="83">
        <v>180240</v>
      </c>
      <c r="J38" s="85">
        <f t="shared" si="3"/>
        <v>15020</v>
      </c>
      <c r="K38" s="104"/>
      <c r="L38">
        <f t="shared" si="8"/>
        <v>208449.06333333335</v>
      </c>
    </row>
    <row r="39" spans="1:12" x14ac:dyDescent="0.25">
      <c r="A39" s="75" t="s">
        <v>81</v>
      </c>
      <c r="B39" s="44"/>
      <c r="C39" s="45">
        <f>SUM(C25:C38)</f>
        <v>822407.82000000007</v>
      </c>
      <c r="D39" s="45">
        <f>SUM(D25:D38)</f>
        <v>272010.38926666667</v>
      </c>
      <c r="E39" s="45">
        <f>SUM(E25:E38)</f>
        <v>243535</v>
      </c>
      <c r="F39" s="45">
        <f>SUM(F25:F38)</f>
        <v>27059.444444444445</v>
      </c>
      <c r="G39" s="45"/>
      <c r="H39" s="86">
        <v>8229.9098999999987</v>
      </c>
      <c r="I39" s="86">
        <f>SUM(I25:I38)</f>
        <v>348950.13586666668</v>
      </c>
      <c r="J39" s="88">
        <f>SUM(J25:J38)</f>
        <v>29079.177988888892</v>
      </c>
      <c r="K39" s="104"/>
    </row>
    <row r="40" spans="1:12" x14ac:dyDescent="0.25">
      <c r="A40" s="75"/>
      <c r="B40" s="44"/>
      <c r="C40" s="45"/>
      <c r="D40" s="45"/>
      <c r="E40" s="45"/>
      <c r="F40" s="45"/>
      <c r="G40" s="45"/>
      <c r="H40" s="86"/>
      <c r="I40" s="86"/>
      <c r="J40" s="88"/>
      <c r="K40" s="104"/>
    </row>
    <row r="41" spans="1:12" x14ac:dyDescent="0.25">
      <c r="A41" s="75" t="s">
        <v>451</v>
      </c>
      <c r="B41" s="44"/>
      <c r="C41" s="45"/>
      <c r="D41" s="45"/>
      <c r="E41" s="45"/>
      <c r="F41" s="45"/>
      <c r="G41" s="45"/>
      <c r="H41" s="86"/>
      <c r="I41" s="86"/>
      <c r="J41" s="89"/>
      <c r="K41" s="104"/>
    </row>
    <row r="42" spans="1:12" x14ac:dyDescent="0.25">
      <c r="A42" s="44" t="s">
        <v>275</v>
      </c>
      <c r="B42" s="44">
        <v>3</v>
      </c>
      <c r="C42" s="45">
        <v>640</v>
      </c>
      <c r="D42" s="45">
        <v>30000</v>
      </c>
      <c r="E42" s="45">
        <v>70000</v>
      </c>
      <c r="F42" s="45">
        <f>E42/9</f>
        <v>7777.7777777777774</v>
      </c>
      <c r="G42" s="45"/>
      <c r="H42" s="80">
        <v>6.4</v>
      </c>
      <c r="I42" s="80">
        <v>122500</v>
      </c>
      <c r="J42" s="82">
        <f t="shared" ref="J42:J48" si="10">I42/12</f>
        <v>10208.333333333334</v>
      </c>
      <c r="K42" s="104"/>
      <c r="L42">
        <f t="shared" si="8"/>
        <v>94033.333333333328</v>
      </c>
    </row>
    <row r="43" spans="1:12" hidden="1" x14ac:dyDescent="0.25">
      <c r="A43" s="44" t="s">
        <v>555</v>
      </c>
      <c r="B43" s="44"/>
      <c r="C43" s="45"/>
      <c r="D43" s="45">
        <v>0</v>
      </c>
      <c r="E43" s="45">
        <v>0</v>
      </c>
      <c r="F43" s="45">
        <f>E43/9</f>
        <v>0</v>
      </c>
      <c r="G43" s="45"/>
      <c r="H43" s="80"/>
      <c r="I43" s="80">
        <v>0</v>
      </c>
      <c r="J43" s="82">
        <f t="shared" si="10"/>
        <v>0</v>
      </c>
      <c r="K43" s="104"/>
      <c r="L43">
        <f t="shared" si="8"/>
        <v>0</v>
      </c>
    </row>
    <row r="44" spans="1:12" hidden="1" x14ac:dyDescent="0.25">
      <c r="A44" s="44" t="s">
        <v>276</v>
      </c>
      <c r="B44" s="44">
        <v>3</v>
      </c>
      <c r="C44" s="45">
        <f>96751.49+163142</f>
        <v>259893.49</v>
      </c>
      <c r="D44" s="45">
        <v>0</v>
      </c>
      <c r="E44" s="45">
        <v>0</v>
      </c>
      <c r="F44" s="45">
        <f t="shared" ref="F44:F47" si="11">E44/9</f>
        <v>0</v>
      </c>
      <c r="G44" s="45"/>
      <c r="H44" s="80">
        <v>2598.9348999999997</v>
      </c>
      <c r="I44" s="80">
        <v>0</v>
      </c>
      <c r="J44" s="82">
        <f t="shared" si="10"/>
        <v>0</v>
      </c>
      <c r="K44" s="104"/>
      <c r="L44">
        <f t="shared" si="8"/>
        <v>0</v>
      </c>
    </row>
    <row r="45" spans="1:12" x14ac:dyDescent="0.25">
      <c r="A45" s="44" t="s">
        <v>277</v>
      </c>
      <c r="B45" s="44">
        <v>3</v>
      </c>
      <c r="C45" s="45">
        <f>114851.62+17003</f>
        <v>131854.62</v>
      </c>
      <c r="D45" s="45">
        <v>43950</v>
      </c>
      <c r="E45" s="45">
        <v>24077</v>
      </c>
      <c r="F45" s="45">
        <f t="shared" si="11"/>
        <v>2675.2222222222222</v>
      </c>
      <c r="G45" s="45"/>
      <c r="H45" s="80">
        <v>1318.5462</v>
      </c>
      <c r="I45" s="80">
        <v>60000</v>
      </c>
      <c r="J45" s="82">
        <f t="shared" si="10"/>
        <v>5000</v>
      </c>
      <c r="K45" s="104"/>
      <c r="L45">
        <f t="shared" si="8"/>
        <v>32343.436666666668</v>
      </c>
    </row>
    <row r="46" spans="1:12" x14ac:dyDescent="0.25">
      <c r="A46" s="44" t="s">
        <v>278</v>
      </c>
      <c r="B46" s="44">
        <v>3</v>
      </c>
      <c r="C46" s="45">
        <f>94483.03+731</f>
        <v>95214.03</v>
      </c>
      <c r="D46" s="45">
        <v>0</v>
      </c>
      <c r="E46" s="45">
        <v>13827</v>
      </c>
      <c r="F46" s="45">
        <f t="shared" si="11"/>
        <v>1536.3333333333333</v>
      </c>
      <c r="G46" s="45"/>
      <c r="H46" s="80">
        <v>952.14029999999991</v>
      </c>
      <c r="I46" s="80">
        <v>0</v>
      </c>
      <c r="J46" s="82">
        <f t="shared" si="10"/>
        <v>0</v>
      </c>
      <c r="K46" s="104"/>
      <c r="L46">
        <f t="shared" si="8"/>
        <v>18574.27</v>
      </c>
    </row>
    <row r="47" spans="1:12" x14ac:dyDescent="0.25">
      <c r="A47" s="44" t="s">
        <v>519</v>
      </c>
      <c r="B47" s="44"/>
      <c r="C47" s="45"/>
      <c r="D47" s="45">
        <v>59200</v>
      </c>
      <c r="E47" s="45">
        <v>69831</v>
      </c>
      <c r="F47" s="45">
        <f t="shared" si="11"/>
        <v>7759</v>
      </c>
      <c r="G47" s="45"/>
      <c r="H47" s="80"/>
      <c r="I47" s="80">
        <v>0</v>
      </c>
      <c r="J47" s="82">
        <f t="shared" si="10"/>
        <v>0</v>
      </c>
      <c r="K47" s="104"/>
      <c r="L47">
        <f t="shared" si="8"/>
        <v>93806.31</v>
      </c>
    </row>
    <row r="48" spans="1:12" x14ac:dyDescent="0.25">
      <c r="A48" s="44" t="s">
        <v>279</v>
      </c>
      <c r="B48" s="44">
        <v>3</v>
      </c>
      <c r="C48" s="45">
        <f>C45</f>
        <v>131854.62</v>
      </c>
      <c r="D48" s="52">
        <v>67920</v>
      </c>
      <c r="E48" s="52">
        <v>46510</v>
      </c>
      <c r="F48" s="52">
        <f>E48/9</f>
        <v>5167.7777777777774</v>
      </c>
      <c r="G48" s="45"/>
      <c r="H48" s="83">
        <v>1318.5462</v>
      </c>
      <c r="I48" s="83">
        <v>68000</v>
      </c>
      <c r="J48" s="85">
        <f t="shared" si="10"/>
        <v>5666.666666666667</v>
      </c>
      <c r="K48" s="104"/>
      <c r="L48">
        <f t="shared" si="8"/>
        <v>62478.433333333334</v>
      </c>
    </row>
    <row r="49" spans="1:13" x14ac:dyDescent="0.25">
      <c r="A49" s="75" t="s">
        <v>84</v>
      </c>
      <c r="B49" s="44"/>
      <c r="C49" s="45">
        <f t="shared" ref="C49:E49" si="12">SUM(C42:C48)</f>
        <v>619456.76</v>
      </c>
      <c r="D49" s="45">
        <f t="shared" si="12"/>
        <v>201070</v>
      </c>
      <c r="E49" s="45">
        <f t="shared" si="12"/>
        <v>224245</v>
      </c>
      <c r="F49" s="45">
        <f>SUM(F42:F48)</f>
        <v>24916.111111111113</v>
      </c>
      <c r="G49" s="45"/>
      <c r="H49" s="90">
        <v>6194.5675999999994</v>
      </c>
      <c r="I49" s="86">
        <f>SUM(I42:I48)</f>
        <v>250500</v>
      </c>
      <c r="J49" s="88">
        <v>17723.346188888885</v>
      </c>
      <c r="K49" s="104"/>
    </row>
    <row r="50" spans="1:13" x14ac:dyDescent="0.25">
      <c r="A50" s="75"/>
      <c r="B50" s="44"/>
      <c r="C50" s="45"/>
      <c r="D50" s="45"/>
      <c r="E50" s="45"/>
      <c r="F50" s="45"/>
      <c r="G50" s="45"/>
      <c r="H50" s="90"/>
      <c r="I50" s="86"/>
      <c r="J50" s="88"/>
      <c r="K50" s="104"/>
    </row>
    <row r="51" spans="1:13" x14ac:dyDescent="0.25">
      <c r="A51" s="75" t="s">
        <v>452</v>
      </c>
      <c r="B51" s="44"/>
      <c r="C51" s="59"/>
      <c r="D51" s="59"/>
      <c r="E51" s="59"/>
      <c r="F51" s="59"/>
      <c r="G51" s="59"/>
      <c r="H51" s="86"/>
      <c r="I51" s="80"/>
      <c r="J51" s="89"/>
      <c r="K51" s="117"/>
    </row>
    <row r="52" spans="1:13" x14ac:dyDescent="0.25">
      <c r="A52" s="44" t="s">
        <v>42</v>
      </c>
      <c r="B52" s="44">
        <v>3</v>
      </c>
      <c r="C52" s="45">
        <f>22589.69+2491</f>
        <v>25080.69</v>
      </c>
      <c r="D52" s="45">
        <v>6500</v>
      </c>
      <c r="E52" s="45">
        <v>3931</v>
      </c>
      <c r="F52" s="45">
        <f>E52/9</f>
        <v>436.77777777777777</v>
      </c>
      <c r="G52" s="45"/>
      <c r="H52" s="80">
        <v>639.55759499999999</v>
      </c>
      <c r="I52" s="80">
        <v>7340</v>
      </c>
      <c r="J52" s="82">
        <f t="shared" ref="J52:J60" si="13">I52/12</f>
        <v>611.66666666666663</v>
      </c>
      <c r="K52" s="101" t="s">
        <v>425</v>
      </c>
      <c r="L52">
        <f>SUM(I25)*7.65%</f>
        <v>7342.47</v>
      </c>
      <c r="M52" s="34">
        <v>7.6499999999999999E-2</v>
      </c>
    </row>
    <row r="53" spans="1:13" x14ac:dyDescent="0.25">
      <c r="A53" s="44" t="s">
        <v>280</v>
      </c>
      <c r="B53" s="44">
        <v>3</v>
      </c>
      <c r="C53" s="45">
        <f>81.38+3</f>
        <v>84.38</v>
      </c>
      <c r="D53" s="45">
        <v>610</v>
      </c>
      <c r="E53" s="45">
        <v>265</v>
      </c>
      <c r="F53" s="45">
        <f t="shared" ref="F53:F60" si="14">E53/9</f>
        <v>29.444444444444443</v>
      </c>
      <c r="G53" s="46"/>
      <c r="H53" s="80">
        <v>2.1516899999999999</v>
      </c>
      <c r="I53" s="80">
        <v>830</v>
      </c>
      <c r="J53" s="82">
        <f t="shared" si="13"/>
        <v>69.166666666666671</v>
      </c>
      <c r="K53" s="104"/>
      <c r="L53">
        <f t="shared" ref="L53:L55" si="15">SUM(I26)*7.65%</f>
        <v>833.85</v>
      </c>
    </row>
    <row r="54" spans="1:13" x14ac:dyDescent="0.25">
      <c r="A54" s="44" t="s">
        <v>281</v>
      </c>
      <c r="B54" s="44">
        <v>3</v>
      </c>
      <c r="C54" s="45">
        <f>81.38+3</f>
        <v>84.38</v>
      </c>
      <c r="D54" s="45">
        <v>950</v>
      </c>
      <c r="E54" s="45">
        <v>449</v>
      </c>
      <c r="F54" s="45">
        <f t="shared" si="14"/>
        <v>49.888888888888886</v>
      </c>
      <c r="G54" s="46"/>
      <c r="H54" s="80">
        <v>2.1516899999999999</v>
      </c>
      <c r="I54" s="80">
        <v>940</v>
      </c>
      <c r="J54" s="82">
        <f t="shared" si="13"/>
        <v>78.333333333333329</v>
      </c>
      <c r="K54" s="104"/>
      <c r="L54">
        <f t="shared" si="15"/>
        <v>944.77499999999998</v>
      </c>
    </row>
    <row r="55" spans="1:13" x14ac:dyDescent="0.25">
      <c r="A55" s="44" t="s">
        <v>556</v>
      </c>
      <c r="B55" s="44"/>
      <c r="C55" s="45"/>
      <c r="D55" s="45">
        <v>0</v>
      </c>
      <c r="E55" s="45">
        <v>1836</v>
      </c>
      <c r="F55" s="45">
        <f t="shared" si="14"/>
        <v>204</v>
      </c>
      <c r="G55" s="46"/>
      <c r="H55" s="80"/>
      <c r="I55" s="80">
        <v>2920</v>
      </c>
      <c r="J55" s="82">
        <f t="shared" si="13"/>
        <v>243.33333333333334</v>
      </c>
      <c r="K55" s="104"/>
      <c r="L55">
        <f t="shared" si="15"/>
        <v>2917.71</v>
      </c>
    </row>
    <row r="56" spans="1:13" x14ac:dyDescent="0.25">
      <c r="A56" s="44" t="s">
        <v>59</v>
      </c>
      <c r="B56" s="44">
        <v>3</v>
      </c>
      <c r="C56" s="45">
        <f>84002.07-9671</f>
        <v>74331.070000000007</v>
      </c>
      <c r="D56" s="45">
        <v>25500</v>
      </c>
      <c r="E56" s="45">
        <v>17338</v>
      </c>
      <c r="F56" s="45">
        <f t="shared" si="14"/>
        <v>1926.4444444444443</v>
      </c>
      <c r="G56" s="46"/>
      <c r="H56" s="80">
        <v>7433.107</v>
      </c>
      <c r="I56" s="80">
        <v>28790</v>
      </c>
      <c r="J56" s="82">
        <f t="shared" si="13"/>
        <v>2399.1666666666665</v>
      </c>
      <c r="K56" s="101" t="s">
        <v>421</v>
      </c>
      <c r="L56">
        <f>SUM($I$25)*30%</f>
        <v>28794</v>
      </c>
      <c r="M56" s="35">
        <v>0.3</v>
      </c>
    </row>
    <row r="57" spans="1:13" x14ac:dyDescent="0.25">
      <c r="A57" s="44" t="s">
        <v>282</v>
      </c>
      <c r="B57" s="44">
        <v>3</v>
      </c>
      <c r="C57" s="45">
        <f>325.56+89</f>
        <v>414.56</v>
      </c>
      <c r="D57" s="45">
        <v>2410</v>
      </c>
      <c r="E57" s="45">
        <v>1038</v>
      </c>
      <c r="F57" s="45">
        <f t="shared" si="14"/>
        <v>115.33333333333333</v>
      </c>
      <c r="G57" s="46"/>
      <c r="H57" s="80">
        <v>41.455999999999996</v>
      </c>
      <c r="I57" s="80">
        <v>3270</v>
      </c>
      <c r="J57" s="82">
        <f t="shared" si="13"/>
        <v>272.5</v>
      </c>
      <c r="K57" s="104"/>
      <c r="L57">
        <f>SUM($I$26)*30%</f>
        <v>3270</v>
      </c>
    </row>
    <row r="58" spans="1:13" x14ac:dyDescent="0.25">
      <c r="A58" s="44" t="s">
        <v>283</v>
      </c>
      <c r="B58" s="44">
        <v>3</v>
      </c>
      <c r="C58" s="45">
        <f>325.56+89</f>
        <v>414.56</v>
      </c>
      <c r="D58" s="45">
        <v>3720</v>
      </c>
      <c r="E58" s="45">
        <v>1758</v>
      </c>
      <c r="F58" s="45">
        <f t="shared" si="14"/>
        <v>195.33333333333334</v>
      </c>
      <c r="G58" s="45"/>
      <c r="H58" s="80">
        <v>41.455999999999996</v>
      </c>
      <c r="I58" s="80">
        <v>3700</v>
      </c>
      <c r="J58" s="82">
        <f t="shared" si="13"/>
        <v>308.33333333333331</v>
      </c>
      <c r="K58" s="104"/>
      <c r="L58">
        <f>SUM($I$27)*30%</f>
        <v>3705</v>
      </c>
    </row>
    <row r="59" spans="1:13" x14ac:dyDescent="0.25">
      <c r="A59" s="44" t="s">
        <v>557</v>
      </c>
      <c r="B59" s="44"/>
      <c r="C59" s="45"/>
      <c r="D59" s="45">
        <v>0</v>
      </c>
      <c r="E59" s="45">
        <v>7201</v>
      </c>
      <c r="F59" s="45">
        <f t="shared" si="14"/>
        <v>800.11111111111109</v>
      </c>
      <c r="G59" s="45"/>
      <c r="H59" s="80"/>
      <c r="I59" s="80">
        <v>11440</v>
      </c>
      <c r="J59" s="82">
        <f t="shared" si="13"/>
        <v>953.33333333333337</v>
      </c>
      <c r="K59" s="104"/>
      <c r="L59">
        <f>SUM($I$28)*30%</f>
        <v>11442</v>
      </c>
    </row>
    <row r="60" spans="1:13" x14ac:dyDescent="0.25">
      <c r="A60" s="44" t="s">
        <v>225</v>
      </c>
      <c r="B60" s="44">
        <v>3</v>
      </c>
      <c r="C60" s="45">
        <f>2784.88+12</f>
        <v>2796.88</v>
      </c>
      <c r="D60" s="45">
        <v>2980</v>
      </c>
      <c r="E60" s="45">
        <v>3575</v>
      </c>
      <c r="F60" s="45">
        <f t="shared" si="14"/>
        <v>397.22222222222223</v>
      </c>
      <c r="G60" s="45"/>
      <c r="H60" s="80">
        <v>27.968800000000002</v>
      </c>
      <c r="I60" s="80">
        <v>4800</v>
      </c>
      <c r="J60" s="82">
        <f t="shared" si="13"/>
        <v>400</v>
      </c>
      <c r="K60" s="104"/>
      <c r="L60">
        <f t="shared" ref="L60" si="16">SUM(E60)+(F60*3)*1.03</f>
        <v>4802.416666666667</v>
      </c>
    </row>
    <row r="61" spans="1:13" x14ac:dyDescent="0.25">
      <c r="A61" s="44" t="s">
        <v>62</v>
      </c>
      <c r="B61" s="44">
        <v>3</v>
      </c>
      <c r="C61" s="52">
        <f>2806.36+106</f>
        <v>2912.36</v>
      </c>
      <c r="D61" s="52">
        <v>560</v>
      </c>
      <c r="E61" s="52">
        <v>348</v>
      </c>
      <c r="F61" s="52">
        <f>E61/9</f>
        <v>38.666666666666664</v>
      </c>
      <c r="G61" s="45"/>
      <c r="H61" s="83">
        <v>29.1236</v>
      </c>
      <c r="I61" s="83">
        <v>470</v>
      </c>
      <c r="J61" s="85">
        <f>I61/12</f>
        <v>39.166666666666664</v>
      </c>
      <c r="K61" s="104"/>
    </row>
    <row r="62" spans="1:13" x14ac:dyDescent="0.25">
      <c r="A62" s="75" t="s">
        <v>85</v>
      </c>
      <c r="B62" s="44"/>
      <c r="C62" s="45">
        <f>SUM(C52:C61)</f>
        <v>106118.88</v>
      </c>
      <c r="D62" s="45">
        <f t="shared" ref="D62:E62" si="17">SUM(D52:D61)</f>
        <v>43230</v>
      </c>
      <c r="E62" s="45">
        <f t="shared" si="17"/>
        <v>37739</v>
      </c>
      <c r="F62" s="45">
        <f>SUM(F52:F61)</f>
        <v>4193.2222222222235</v>
      </c>
      <c r="G62" s="45"/>
      <c r="H62" s="86">
        <v>1061.1888000000001</v>
      </c>
      <c r="I62" s="86">
        <f>SUM(I52:I61)</f>
        <v>64500</v>
      </c>
      <c r="J62" s="88">
        <v>3632.4943645833332</v>
      </c>
      <c r="K62" s="104"/>
    </row>
    <row r="63" spans="1:13" x14ac:dyDescent="0.25">
      <c r="A63" s="75"/>
      <c r="B63" s="44"/>
      <c r="C63" s="59"/>
      <c r="D63" s="59"/>
      <c r="E63" s="59"/>
      <c r="F63" s="59"/>
      <c r="G63" s="59"/>
      <c r="H63" s="86"/>
      <c r="I63" s="80"/>
      <c r="J63" s="89"/>
      <c r="K63" s="104"/>
    </row>
    <row r="64" spans="1:13" hidden="1" x14ac:dyDescent="0.25">
      <c r="A64" s="44" t="s">
        <v>227</v>
      </c>
      <c r="B64" s="44">
        <v>3</v>
      </c>
      <c r="C64" s="45">
        <v>0</v>
      </c>
      <c r="D64" s="45">
        <f t="shared" ref="D64:D65" si="18">C64/3</f>
        <v>0</v>
      </c>
      <c r="E64" s="45">
        <f t="shared" ref="E64:E65" si="19">D64/12</f>
        <v>0</v>
      </c>
      <c r="F64" s="45"/>
      <c r="G64" s="45"/>
      <c r="H64" s="80">
        <v>0</v>
      </c>
      <c r="I64" s="80">
        <v>0</v>
      </c>
      <c r="J64" s="82">
        <v>0</v>
      </c>
      <c r="K64" s="104"/>
    </row>
    <row r="65" spans="1:11" hidden="1" x14ac:dyDescent="0.25">
      <c r="A65" s="44" t="s">
        <v>64</v>
      </c>
      <c r="B65" s="44">
        <v>3</v>
      </c>
      <c r="C65" s="45">
        <v>0</v>
      </c>
      <c r="D65" s="45">
        <f t="shared" si="18"/>
        <v>0</v>
      </c>
      <c r="E65" s="45">
        <f t="shared" si="19"/>
        <v>0</v>
      </c>
      <c r="F65" s="45"/>
      <c r="G65" s="45"/>
      <c r="H65" s="80">
        <v>0</v>
      </c>
      <c r="I65" s="80">
        <v>0</v>
      </c>
      <c r="J65" s="82">
        <v>0</v>
      </c>
      <c r="K65" s="104"/>
    </row>
    <row r="66" spans="1:11" x14ac:dyDescent="0.25">
      <c r="A66" s="75" t="s">
        <v>453</v>
      </c>
      <c r="B66" s="44"/>
      <c r="C66" s="45"/>
      <c r="D66" s="45"/>
      <c r="E66" s="45"/>
      <c r="F66" s="45"/>
      <c r="G66" s="45"/>
      <c r="H66" s="80"/>
      <c r="I66" s="80"/>
      <c r="J66" s="82"/>
      <c r="K66" s="104"/>
    </row>
    <row r="67" spans="1:11" x14ac:dyDescent="0.25">
      <c r="A67" s="44" t="s">
        <v>65</v>
      </c>
      <c r="B67" s="44">
        <v>3</v>
      </c>
      <c r="C67" s="52">
        <v>4369</v>
      </c>
      <c r="D67" s="52">
        <v>0</v>
      </c>
      <c r="E67" s="52">
        <v>0</v>
      </c>
      <c r="F67" s="52">
        <f>E67/9</f>
        <v>0</v>
      </c>
      <c r="G67" s="45"/>
      <c r="H67" s="83">
        <v>0</v>
      </c>
      <c r="I67" s="83">
        <v>1500</v>
      </c>
      <c r="J67" s="85">
        <v>125</v>
      </c>
      <c r="K67" s="101" t="s">
        <v>393</v>
      </c>
    </row>
    <row r="68" spans="1:11" ht="15.75" thickBot="1" x14ac:dyDescent="0.3">
      <c r="A68" s="75" t="s">
        <v>87</v>
      </c>
      <c r="B68" s="44">
        <v>3</v>
      </c>
      <c r="C68" s="45">
        <f>SUM(C64:C67)</f>
        <v>4369</v>
      </c>
      <c r="D68" s="45">
        <f t="shared" ref="D68:E68" si="20">SUM(D64:D67)</f>
        <v>0</v>
      </c>
      <c r="E68" s="45">
        <f t="shared" si="20"/>
        <v>0</v>
      </c>
      <c r="F68" s="45">
        <f>SUM(F67)</f>
        <v>0</v>
      </c>
      <c r="G68" s="45"/>
      <c r="H68" s="97">
        <v>0</v>
      </c>
      <c r="I68" s="97">
        <v>1500</v>
      </c>
      <c r="J68" s="98">
        <v>125</v>
      </c>
      <c r="K68" s="104"/>
    </row>
    <row r="69" spans="1:11" x14ac:dyDescent="0.2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</row>
    <row r="70" spans="1:11" x14ac:dyDescent="0.25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</row>
  </sheetData>
  <customSheetViews>
    <customSheetView guid="{D54A66AC-88E3-46FB-AFE3-2E559F565FEB}" scale="90" hiddenRows="1" hiddenColumns="1" topLeftCell="A32">
      <selection activeCell="L1" sqref="L1:N1048576"/>
      <pageMargins left="0.75" right="0.75" top="1" bottom="1" header="0.5" footer="0.5"/>
      <pageSetup scale="55" fitToHeight="2" orientation="portrait" r:id="rId1"/>
      <headerFooter alignWithMargins="0"/>
    </customSheetView>
  </customSheetViews>
  <pageMargins left="0.75" right="0.75" top="1" bottom="1" header="0.5" footer="0.5"/>
  <pageSetup scale="55" fitToHeight="2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2"/>
  <sheetViews>
    <sheetView zoomScale="80" zoomScaleNormal="80" workbookViewId="0">
      <pane xSplit="3" ySplit="4" topLeftCell="D5" activePane="bottomRight" state="frozen"/>
      <selection activeCell="A180" sqref="A180"/>
      <selection pane="topRight" activeCell="A180" sqref="A180"/>
      <selection pane="bottomLeft" activeCell="A180" sqref="A180"/>
      <selection pane="bottomRight" activeCell="L1" sqref="L1:P1048576"/>
    </sheetView>
  </sheetViews>
  <sheetFormatPr defaultRowHeight="15" x14ac:dyDescent="0.25"/>
  <cols>
    <col min="1" max="1" width="50.5703125" bestFit="1" customWidth="1"/>
    <col min="2" max="2" width="9.140625" hidden="1" customWidth="1"/>
    <col min="3" max="3" width="11.140625" hidden="1" customWidth="1"/>
    <col min="4" max="4" width="15.42578125" bestFit="1" customWidth="1"/>
    <col min="5" max="5" width="13.5703125" bestFit="1" customWidth="1"/>
    <col min="6" max="6" width="11.5703125" customWidth="1"/>
    <col min="7" max="7" width="3.85546875" customWidth="1"/>
    <col min="8" max="8" width="9.28515625" hidden="1" customWidth="1"/>
    <col min="9" max="9" width="26.42578125" customWidth="1"/>
    <col min="10" max="10" width="13" bestFit="1" customWidth="1"/>
    <col min="11" max="11" width="62.85546875" customWidth="1"/>
    <col min="12" max="16" width="0" hidden="1" customWidth="1"/>
  </cols>
  <sheetData>
    <row r="1" spans="1:14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'Green Ridge'!I1</f>
        <v>Projected Annual Budget 2017</v>
      </c>
      <c r="J1" s="125"/>
      <c r="K1" s="108"/>
    </row>
    <row r="2" spans="1:14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1" t="s">
        <v>596</v>
      </c>
    </row>
    <row r="3" spans="1:14" ht="21" thickBot="1" x14ac:dyDescent="0.35">
      <c r="A3" s="99" t="s">
        <v>664</v>
      </c>
      <c r="B3" s="104"/>
      <c r="C3" s="104"/>
      <c r="D3" s="109"/>
      <c r="E3" s="104"/>
      <c r="F3" s="104"/>
      <c r="G3" s="104"/>
      <c r="H3" s="104"/>
      <c r="I3" s="167"/>
      <c r="J3" s="95"/>
      <c r="K3" s="101" t="s">
        <v>643</v>
      </c>
    </row>
    <row r="4" spans="1:14" s="29" customFormat="1" ht="45.75" thickBot="1" x14ac:dyDescent="0.3">
      <c r="A4" s="39" t="s">
        <v>71</v>
      </c>
      <c r="B4" s="39" t="s">
        <v>72</v>
      </c>
      <c r="C4" s="39" t="s">
        <v>73</v>
      </c>
      <c r="D4" s="40" t="str">
        <f>'Green Ridge'!D4</f>
        <v>2016 Annual Budget</v>
      </c>
      <c r="E4" s="40" t="str">
        <f>'Green Ridge'!E4</f>
        <v>YTD Actual FY 2016 @ 9/30/16</v>
      </c>
      <c r="F4" s="40" t="str">
        <f>'Green Ridge'!F4</f>
        <v>FY 2016 - 9 month Avg</v>
      </c>
      <c r="G4" s="126"/>
      <c r="H4" s="111"/>
      <c r="I4" s="127" t="s">
        <v>427</v>
      </c>
      <c r="J4" s="113" t="s">
        <v>428</v>
      </c>
      <c r="K4" s="133"/>
      <c r="L4" s="32"/>
      <c r="M4" s="32"/>
      <c r="N4" s="32"/>
    </row>
    <row r="5" spans="1:14" s="32" customFormat="1" x14ac:dyDescent="0.25">
      <c r="A5" s="44" t="s">
        <v>33</v>
      </c>
      <c r="B5" s="156"/>
      <c r="C5" s="45">
        <v>-2276069</v>
      </c>
      <c r="D5" s="46">
        <v>1099725</v>
      </c>
      <c r="E5" s="46">
        <v>873925</v>
      </c>
      <c r="F5" s="46">
        <f>E5/9</f>
        <v>97102.777777777781</v>
      </c>
      <c r="G5" s="46"/>
      <c r="H5" s="134">
        <v>0</v>
      </c>
      <c r="I5" s="135">
        <v>1173970</v>
      </c>
      <c r="J5" s="58">
        <f>I5/12</f>
        <v>97830.833333333328</v>
      </c>
      <c r="K5" s="152"/>
      <c r="L5" s="32">
        <f t="shared" ref="L5:L14" si="0">SUM(E5)+(F5*3)*1.03</f>
        <v>1173972.5833333335</v>
      </c>
    </row>
    <row r="6" spans="1:14" x14ac:dyDescent="0.25">
      <c r="A6" s="44" t="s">
        <v>209</v>
      </c>
      <c r="B6" s="44">
        <v>3</v>
      </c>
      <c r="C6" s="45">
        <f>-97989.17-109971</f>
        <v>-207960.16999999998</v>
      </c>
      <c r="D6" s="46">
        <v>30780</v>
      </c>
      <c r="E6" s="46">
        <v>0</v>
      </c>
      <c r="F6" s="46">
        <f t="shared" ref="F6:F13" si="1">E6/9</f>
        <v>0</v>
      </c>
      <c r="G6" s="46"/>
      <c r="H6" s="57">
        <v>0</v>
      </c>
      <c r="I6" s="135">
        <v>0</v>
      </c>
      <c r="J6" s="58">
        <f t="shared" ref="J6:J14" si="2">I6/12</f>
        <v>0</v>
      </c>
      <c r="K6" s="104" t="s">
        <v>560</v>
      </c>
      <c r="L6" s="32">
        <f t="shared" si="0"/>
        <v>0</v>
      </c>
      <c r="N6" s="21" t="s">
        <v>74</v>
      </c>
    </row>
    <row r="7" spans="1:14" x14ac:dyDescent="0.25">
      <c r="A7" s="44" t="s">
        <v>34</v>
      </c>
      <c r="B7" s="44">
        <v>3</v>
      </c>
      <c r="C7" s="45">
        <f>120147.92-56653</f>
        <v>63494.92</v>
      </c>
      <c r="D7" s="46">
        <v>-22000</v>
      </c>
      <c r="E7" s="46">
        <v>-34570</v>
      </c>
      <c r="F7" s="46">
        <f t="shared" si="1"/>
        <v>-3841.1111111111113</v>
      </c>
      <c r="G7" s="46"/>
      <c r="H7" s="57">
        <v>0</v>
      </c>
      <c r="I7" s="270">
        <v>-23480</v>
      </c>
      <c r="J7" s="58">
        <f t="shared" si="2"/>
        <v>-1956.6666666666667</v>
      </c>
      <c r="K7" s="104" t="s">
        <v>567</v>
      </c>
      <c r="L7">
        <f>I5*2%</f>
        <v>23479.4</v>
      </c>
      <c r="N7" s="27">
        <v>0.05</v>
      </c>
    </row>
    <row r="8" spans="1:14" x14ac:dyDescent="0.25">
      <c r="A8" s="44" t="s">
        <v>355</v>
      </c>
      <c r="B8" s="44">
        <v>3</v>
      </c>
      <c r="C8" s="45">
        <v>-233.18333333333334</v>
      </c>
      <c r="D8" s="46">
        <v>220</v>
      </c>
      <c r="E8" s="46">
        <v>135</v>
      </c>
      <c r="F8" s="46">
        <f t="shared" si="1"/>
        <v>15</v>
      </c>
      <c r="G8" s="46"/>
      <c r="H8" s="57">
        <v>0</v>
      </c>
      <c r="I8" s="135">
        <v>180</v>
      </c>
      <c r="J8" s="58">
        <f t="shared" si="2"/>
        <v>15</v>
      </c>
      <c r="K8" s="104"/>
      <c r="L8">
        <f t="shared" si="0"/>
        <v>181.35</v>
      </c>
      <c r="N8" s="21" t="s">
        <v>392</v>
      </c>
    </row>
    <row r="9" spans="1:14" x14ac:dyDescent="0.25">
      <c r="A9" s="44" t="s">
        <v>36</v>
      </c>
      <c r="B9" s="44">
        <v>3</v>
      </c>
      <c r="C9" s="45">
        <f>-51149.69+3121</f>
        <v>-48028.69</v>
      </c>
      <c r="D9" s="46">
        <v>25470</v>
      </c>
      <c r="E9" s="46">
        <v>20196</v>
      </c>
      <c r="F9" s="46">
        <f t="shared" si="1"/>
        <v>2244</v>
      </c>
      <c r="G9" s="46"/>
      <c r="H9" s="57">
        <v>-610</v>
      </c>
      <c r="I9" s="135">
        <v>27130</v>
      </c>
      <c r="J9" s="58">
        <f t="shared" si="2"/>
        <v>2260.8333333333335</v>
      </c>
      <c r="K9" s="104"/>
      <c r="L9">
        <f t="shared" si="0"/>
        <v>27129.96</v>
      </c>
      <c r="N9" s="27">
        <v>0.03</v>
      </c>
    </row>
    <row r="10" spans="1:14" x14ac:dyDescent="0.25">
      <c r="A10" s="44" t="s">
        <v>37</v>
      </c>
      <c r="B10" s="44">
        <v>3</v>
      </c>
      <c r="C10" s="45">
        <f>-24480.27+887</f>
        <v>-23593.27</v>
      </c>
      <c r="D10" s="46">
        <v>9100</v>
      </c>
      <c r="E10" s="46">
        <v>4560</v>
      </c>
      <c r="F10" s="46">
        <f t="shared" si="1"/>
        <v>506.66666666666669</v>
      </c>
      <c r="G10" s="46"/>
      <c r="H10" s="57">
        <v>-300</v>
      </c>
      <c r="I10" s="135">
        <v>6120</v>
      </c>
      <c r="J10" s="58">
        <f t="shared" si="2"/>
        <v>510</v>
      </c>
      <c r="K10" s="104"/>
      <c r="L10">
        <f t="shared" si="0"/>
        <v>6125.6</v>
      </c>
    </row>
    <row r="11" spans="1:14" x14ac:dyDescent="0.25">
      <c r="A11" s="44" t="s">
        <v>211</v>
      </c>
      <c r="B11" s="44"/>
      <c r="C11" s="45"/>
      <c r="D11" s="46">
        <v>1550</v>
      </c>
      <c r="E11" s="46">
        <v>0</v>
      </c>
      <c r="F11" s="46">
        <f t="shared" si="1"/>
        <v>0</v>
      </c>
      <c r="G11" s="46"/>
      <c r="H11" s="57"/>
      <c r="I11" s="135">
        <v>0</v>
      </c>
      <c r="J11" s="58">
        <f t="shared" si="2"/>
        <v>0</v>
      </c>
      <c r="K11" s="104"/>
      <c r="L11">
        <f t="shared" si="0"/>
        <v>0</v>
      </c>
    </row>
    <row r="12" spans="1:14" x14ac:dyDescent="0.25">
      <c r="A12" s="44" t="s">
        <v>295</v>
      </c>
      <c r="B12" s="44">
        <v>3</v>
      </c>
      <c r="C12" s="45">
        <f>-1225-901</f>
        <v>-2126</v>
      </c>
      <c r="D12" s="46">
        <v>1610</v>
      </c>
      <c r="E12" s="46">
        <v>2460</v>
      </c>
      <c r="F12" s="46">
        <f t="shared" si="1"/>
        <v>273.33333333333331</v>
      </c>
      <c r="G12" s="46"/>
      <c r="H12" s="57">
        <f t="shared" ref="H12:H13" si="3">D12*$N$9</f>
        <v>48.3</v>
      </c>
      <c r="I12" s="135">
        <v>3300</v>
      </c>
      <c r="J12" s="58">
        <f t="shared" si="2"/>
        <v>275</v>
      </c>
      <c r="K12" s="104"/>
      <c r="L12">
        <f t="shared" si="0"/>
        <v>3304.6</v>
      </c>
    </row>
    <row r="13" spans="1:14" x14ac:dyDescent="0.25">
      <c r="A13" s="44" t="s">
        <v>356</v>
      </c>
      <c r="B13" s="44">
        <v>3</v>
      </c>
      <c r="C13" s="45">
        <v>-211368.97666666668</v>
      </c>
      <c r="D13" s="46">
        <v>6800</v>
      </c>
      <c r="E13" s="46">
        <v>14850</v>
      </c>
      <c r="F13" s="46">
        <f t="shared" si="1"/>
        <v>1650</v>
      </c>
      <c r="G13" s="46"/>
      <c r="H13" s="57">
        <f t="shared" si="3"/>
        <v>204</v>
      </c>
      <c r="I13" s="135">
        <v>17580</v>
      </c>
      <c r="J13" s="58">
        <f t="shared" si="2"/>
        <v>1465</v>
      </c>
      <c r="K13" s="240"/>
      <c r="L13">
        <f t="shared" si="0"/>
        <v>19948.5</v>
      </c>
    </row>
    <row r="14" spans="1:14" x14ac:dyDescent="0.25">
      <c r="A14" s="44" t="s">
        <v>357</v>
      </c>
      <c r="B14" s="44">
        <v>3</v>
      </c>
      <c r="C14" s="52">
        <f>4270+5021</f>
        <v>9291</v>
      </c>
      <c r="D14" s="53">
        <v>-4330</v>
      </c>
      <c r="E14" s="53">
        <v>-3840</v>
      </c>
      <c r="F14" s="53">
        <f>E14/9</f>
        <v>-426.66666666666669</v>
      </c>
      <c r="G14" s="53"/>
      <c r="H14" s="137">
        <v>0</v>
      </c>
      <c r="I14" s="138">
        <v>-5160</v>
      </c>
      <c r="J14" s="139">
        <f t="shared" si="2"/>
        <v>-430</v>
      </c>
      <c r="K14" s="104"/>
      <c r="L14">
        <f t="shared" si="0"/>
        <v>-5158.3999999999996</v>
      </c>
    </row>
    <row r="15" spans="1:14" x14ac:dyDescent="0.25">
      <c r="A15" s="75" t="s">
        <v>75</v>
      </c>
      <c r="B15" s="44"/>
      <c r="C15" s="45">
        <f t="shared" ref="C15:J15" si="4">SUM(C5:C14)</f>
        <v>-2696593.3699999996</v>
      </c>
      <c r="D15" s="46">
        <f t="shared" si="4"/>
        <v>1148925</v>
      </c>
      <c r="E15" s="46">
        <f t="shared" si="4"/>
        <v>877716</v>
      </c>
      <c r="F15" s="46">
        <f>SUM(F5:F14)</f>
        <v>97524</v>
      </c>
      <c r="G15" s="46"/>
      <c r="H15" s="57">
        <f t="shared" si="4"/>
        <v>-657.7</v>
      </c>
      <c r="I15" s="57">
        <f t="shared" si="4"/>
        <v>1199640</v>
      </c>
      <c r="J15" s="58">
        <f t="shared" si="4"/>
        <v>99969.999999999985</v>
      </c>
      <c r="K15" s="104"/>
    </row>
    <row r="16" spans="1:14" x14ac:dyDescent="0.25">
      <c r="A16" s="44"/>
      <c r="B16" s="44"/>
      <c r="C16" s="45"/>
      <c r="D16" s="46"/>
      <c r="E16" s="46"/>
      <c r="F16" s="46"/>
      <c r="G16" s="46"/>
      <c r="H16" s="57"/>
      <c r="I16" s="57"/>
      <c r="J16" s="58"/>
      <c r="K16" s="104"/>
    </row>
    <row r="17" spans="1:12" x14ac:dyDescent="0.25">
      <c r="A17" s="44" t="s">
        <v>76</v>
      </c>
      <c r="B17" s="44"/>
      <c r="C17" s="45">
        <f>C47</f>
        <v>636345.30000000005</v>
      </c>
      <c r="D17" s="46">
        <f>-D47</f>
        <v>-167730</v>
      </c>
      <c r="E17" s="241">
        <f>-E47</f>
        <v>-115765</v>
      </c>
      <c r="F17" s="46">
        <f>E17/9</f>
        <v>-12862.777777777777</v>
      </c>
      <c r="G17" s="46"/>
      <c r="H17" s="57" t="e">
        <f>H47</f>
        <v>#VALUE!</v>
      </c>
      <c r="I17" s="57">
        <f>-I47</f>
        <v>-157960</v>
      </c>
      <c r="J17" s="58">
        <f>-J47</f>
        <v>-13163.333333333332</v>
      </c>
      <c r="K17" s="104"/>
    </row>
    <row r="18" spans="1:12" x14ac:dyDescent="0.25">
      <c r="A18" s="44" t="s">
        <v>83</v>
      </c>
      <c r="B18" s="44"/>
      <c r="C18" s="45">
        <f>C54</f>
        <v>654710.09</v>
      </c>
      <c r="D18" s="46">
        <f>-D54</f>
        <v>-203990</v>
      </c>
      <c r="E18" s="46">
        <f>-E54</f>
        <v>-145203</v>
      </c>
      <c r="F18" s="46">
        <f t="shared" ref="F18:F22" si="5">E18/9</f>
        <v>-16133.666666666666</v>
      </c>
      <c r="G18" s="46"/>
      <c r="H18" s="57">
        <f>H54</f>
        <v>12607.7</v>
      </c>
      <c r="I18" s="57">
        <f>-I54</f>
        <v>-196150</v>
      </c>
      <c r="J18" s="58">
        <f>-J54</f>
        <v>-16345.833333333334</v>
      </c>
      <c r="K18" s="101"/>
    </row>
    <row r="19" spans="1:12" x14ac:dyDescent="0.25">
      <c r="A19" s="44" t="s">
        <v>88</v>
      </c>
      <c r="B19" s="44"/>
      <c r="C19" s="45">
        <f>C70</f>
        <v>650831.32999999996</v>
      </c>
      <c r="D19" s="46">
        <f>-D70</f>
        <v>-298160</v>
      </c>
      <c r="E19" s="46">
        <f>-E70</f>
        <v>-266554</v>
      </c>
      <c r="F19" s="46">
        <f t="shared" si="5"/>
        <v>-29617.111111111109</v>
      </c>
      <c r="G19" s="46"/>
      <c r="H19" s="57">
        <f>H70</f>
        <v>18692.8</v>
      </c>
      <c r="I19" s="57">
        <f>-I70</f>
        <v>-336470</v>
      </c>
      <c r="J19" s="58">
        <f>-J70</f>
        <v>-28039.166666666668</v>
      </c>
      <c r="K19" s="104"/>
    </row>
    <row r="20" spans="1:12" x14ac:dyDescent="0.25">
      <c r="A20" s="44" t="s">
        <v>77</v>
      </c>
      <c r="B20" s="44"/>
      <c r="C20" s="45">
        <f>C81</f>
        <v>413605.96333333332</v>
      </c>
      <c r="D20" s="46">
        <f>-D81</f>
        <v>-372638</v>
      </c>
      <c r="E20" s="46">
        <f>-E81</f>
        <v>-256921</v>
      </c>
      <c r="F20" s="46">
        <f t="shared" si="5"/>
        <v>-28546.777777777777</v>
      </c>
      <c r="G20" s="46"/>
      <c r="H20" s="57">
        <f>H81</f>
        <v>2721.7</v>
      </c>
      <c r="I20" s="57">
        <f>-I81</f>
        <v>-349700</v>
      </c>
      <c r="J20" s="58">
        <f>-J81</f>
        <v>-29141.666666666664</v>
      </c>
      <c r="K20" s="101"/>
    </row>
    <row r="21" spans="1:12" x14ac:dyDescent="0.25">
      <c r="A21" s="44" t="s">
        <v>296</v>
      </c>
      <c r="B21" s="44"/>
      <c r="C21" s="45">
        <f>C87</f>
        <v>404246.59</v>
      </c>
      <c r="D21" s="46">
        <f>-D87</f>
        <v>-246210</v>
      </c>
      <c r="E21" s="46">
        <f>-E87</f>
        <v>-205176</v>
      </c>
      <c r="F21" s="46">
        <f t="shared" si="5"/>
        <v>-22797.333333333332</v>
      </c>
      <c r="G21" s="46"/>
      <c r="H21" s="57">
        <f>H87</f>
        <v>0</v>
      </c>
      <c r="I21" s="57">
        <f>-I87</f>
        <v>-246210</v>
      </c>
      <c r="J21" s="58">
        <f>-J87</f>
        <v>-20517.5</v>
      </c>
      <c r="K21" s="101"/>
    </row>
    <row r="22" spans="1:12" x14ac:dyDescent="0.25">
      <c r="A22" s="44" t="s">
        <v>78</v>
      </c>
      <c r="B22" s="44"/>
      <c r="C22" s="45">
        <f>C91</f>
        <v>9000</v>
      </c>
      <c r="D22" s="46">
        <f>-D91</f>
        <v>-36000</v>
      </c>
      <c r="E22" s="46">
        <f>-E91</f>
        <v>-27000</v>
      </c>
      <c r="F22" s="46">
        <f t="shared" si="5"/>
        <v>-3000</v>
      </c>
      <c r="G22" s="46"/>
      <c r="H22" s="57">
        <f>H91</f>
        <v>0</v>
      </c>
      <c r="I22" s="57">
        <f>-I91</f>
        <v>-36000</v>
      </c>
      <c r="J22" s="58">
        <f>-J91</f>
        <v>-3000</v>
      </c>
      <c r="K22" s="106"/>
      <c r="L22" s="24"/>
    </row>
    <row r="23" spans="1:12" x14ac:dyDescent="0.25">
      <c r="A23" s="44" t="s">
        <v>79</v>
      </c>
      <c r="B23" s="44"/>
      <c r="C23" s="52">
        <f>C103</f>
        <v>0</v>
      </c>
      <c r="D23" s="53">
        <f>-D100</f>
        <v>-24000</v>
      </c>
      <c r="E23" s="53">
        <f>-E100</f>
        <v>-60411</v>
      </c>
      <c r="F23" s="53">
        <f>E23/9</f>
        <v>-6712.333333333333</v>
      </c>
      <c r="G23" s="53"/>
      <c r="H23" s="137">
        <f>H100</f>
        <v>0</v>
      </c>
      <c r="I23" s="137">
        <f>-I100</f>
        <v>-39000</v>
      </c>
      <c r="J23" s="139">
        <f>-J100</f>
        <v>-3250</v>
      </c>
      <c r="K23" s="106"/>
    </row>
    <row r="24" spans="1:12" x14ac:dyDescent="0.25">
      <c r="A24" s="44" t="s">
        <v>80</v>
      </c>
      <c r="B24" s="44"/>
      <c r="C24" s="140">
        <f>SUM(C17:C23)</f>
        <v>2768739.2733333334</v>
      </c>
      <c r="D24" s="141">
        <f t="shared" ref="D24:F24" si="6">SUM(D17:D23)</f>
        <v>-1348728</v>
      </c>
      <c r="E24" s="141">
        <f t="shared" si="6"/>
        <v>-1077030</v>
      </c>
      <c r="F24" s="141">
        <f t="shared" si="6"/>
        <v>-119669.99999999999</v>
      </c>
      <c r="G24" s="53"/>
      <c r="H24" s="137" t="e">
        <f>SUM(H17:H23)</f>
        <v>#VALUE!</v>
      </c>
      <c r="I24" s="163">
        <f t="shared" ref="I24:J24" si="7">SUM(I17:I23)</f>
        <v>-1361490</v>
      </c>
      <c r="J24" s="164">
        <f t="shared" si="7"/>
        <v>-113457.5</v>
      </c>
      <c r="K24" s="106"/>
    </row>
    <row r="25" spans="1:12" x14ac:dyDescent="0.25">
      <c r="A25" s="44"/>
      <c r="B25" s="44"/>
      <c r="C25" s="45"/>
      <c r="D25" s="46"/>
      <c r="E25" s="46"/>
      <c r="F25" s="46"/>
      <c r="G25" s="46"/>
      <c r="H25" s="57"/>
      <c r="I25" s="57"/>
      <c r="J25" s="58"/>
      <c r="K25" s="106"/>
    </row>
    <row r="26" spans="1:12" ht="15.75" thickBot="1" x14ac:dyDescent="0.3">
      <c r="A26" s="121" t="s">
        <v>550</v>
      </c>
      <c r="B26" s="122"/>
      <c r="C26" s="123">
        <f>SUM(-C15-C24)</f>
        <v>-72145.903333333787</v>
      </c>
      <c r="D26" s="72">
        <f>SUM(D15+D24)+D80</f>
        <v>23727</v>
      </c>
      <c r="E26" s="72">
        <f t="shared" ref="E26:F26" si="8">SUM(E15+E24)+E80</f>
        <v>-25720</v>
      </c>
      <c r="F26" s="72">
        <f t="shared" si="8"/>
        <v>-2857.7777777777628</v>
      </c>
      <c r="G26" s="72"/>
      <c r="H26" s="73" t="e">
        <f>SUM(H15+H24)-H86</f>
        <v>#VALUE!</v>
      </c>
      <c r="I26" s="73">
        <f>SUM(I15+I24)+I80</f>
        <v>69610</v>
      </c>
      <c r="J26" s="74">
        <f>SUM(J15+J24)+J80</f>
        <v>5800.8333333333176</v>
      </c>
      <c r="K26" s="106"/>
    </row>
    <row r="27" spans="1:12" x14ac:dyDescent="0.25">
      <c r="A27" s="75" t="s">
        <v>449</v>
      </c>
      <c r="B27" s="44"/>
      <c r="C27" s="45"/>
      <c r="D27" s="46"/>
      <c r="E27" s="46"/>
      <c r="F27" s="46"/>
      <c r="G27" s="46"/>
      <c r="H27" s="57"/>
      <c r="I27" s="57"/>
      <c r="J27" s="58"/>
      <c r="K27" s="106"/>
    </row>
    <row r="28" spans="1:12" x14ac:dyDescent="0.25">
      <c r="A28" s="44" t="s">
        <v>39</v>
      </c>
      <c r="B28" s="44">
        <v>3</v>
      </c>
      <c r="C28" s="118">
        <f>45472.33+11325</f>
        <v>56797.33</v>
      </c>
      <c r="D28" s="46">
        <v>19160</v>
      </c>
      <c r="E28" s="46">
        <v>14430</v>
      </c>
      <c r="F28" s="46">
        <f>E28/9</f>
        <v>1603.3333333333333</v>
      </c>
      <c r="G28" s="46"/>
      <c r="H28" s="57">
        <f>D28*$N$9</f>
        <v>574.79999999999995</v>
      </c>
      <c r="I28" s="57">
        <v>19380</v>
      </c>
      <c r="J28" s="58">
        <f t="shared" ref="J28:J46" si="9">I28/12</f>
        <v>1615</v>
      </c>
      <c r="K28" s="101" t="s">
        <v>446</v>
      </c>
      <c r="L28">
        <f t="shared" ref="L28:L46" si="10">SUM(E28)+(F28*3)*1.03</f>
        <v>19384.3</v>
      </c>
    </row>
    <row r="29" spans="1:12" x14ac:dyDescent="0.25">
      <c r="A29" s="44" t="s">
        <v>40</v>
      </c>
      <c r="B29" s="44">
        <v>3</v>
      </c>
      <c r="C29" s="118">
        <f>6775.15-3223</f>
        <v>3552.1499999999996</v>
      </c>
      <c r="D29" s="45">
        <v>630</v>
      </c>
      <c r="E29" s="45">
        <v>742</v>
      </c>
      <c r="F29" s="46">
        <f t="shared" ref="F29:F45" si="11">E29/9</f>
        <v>82.444444444444443</v>
      </c>
      <c r="G29" s="45"/>
      <c r="H29" s="115">
        <f>D29*$N$9</f>
        <v>18.899999999999999</v>
      </c>
      <c r="I29" s="115">
        <v>1000</v>
      </c>
      <c r="J29" s="116">
        <f t="shared" si="9"/>
        <v>83.333333333333329</v>
      </c>
      <c r="K29" s="104"/>
      <c r="L29">
        <f t="shared" si="10"/>
        <v>996.75333333333333</v>
      </c>
    </row>
    <row r="30" spans="1:12" x14ac:dyDescent="0.25">
      <c r="A30" s="44" t="s">
        <v>41</v>
      </c>
      <c r="B30" s="44">
        <v>3</v>
      </c>
      <c r="C30" s="45">
        <f>280+187</f>
        <v>467</v>
      </c>
      <c r="D30" s="45">
        <v>0</v>
      </c>
      <c r="E30" s="45">
        <v>654</v>
      </c>
      <c r="F30" s="46">
        <f t="shared" si="11"/>
        <v>72.666666666666671</v>
      </c>
      <c r="G30" s="45"/>
      <c r="H30" s="115">
        <f>D30*$M$9</f>
        <v>0</v>
      </c>
      <c r="I30" s="115">
        <v>880</v>
      </c>
      <c r="J30" s="116">
        <f t="shared" si="9"/>
        <v>73.333333333333329</v>
      </c>
      <c r="K30" s="104"/>
      <c r="L30">
        <f t="shared" si="10"/>
        <v>878.54</v>
      </c>
    </row>
    <row r="31" spans="1:12" x14ac:dyDescent="0.25">
      <c r="A31" s="44" t="s">
        <v>317</v>
      </c>
      <c r="B31" s="44">
        <v>3</v>
      </c>
      <c r="C31" s="118">
        <f>133+1616</f>
        <v>1749</v>
      </c>
      <c r="D31" s="45">
        <v>520</v>
      </c>
      <c r="E31" s="45">
        <v>430</v>
      </c>
      <c r="F31" s="46">
        <f t="shared" si="11"/>
        <v>47.777777777777779</v>
      </c>
      <c r="G31" s="45"/>
      <c r="H31" s="115">
        <f>D31*$N$9</f>
        <v>15.6</v>
      </c>
      <c r="I31" s="115">
        <v>580</v>
      </c>
      <c r="J31" s="116">
        <f t="shared" si="9"/>
        <v>48.333333333333336</v>
      </c>
      <c r="K31" s="104"/>
      <c r="L31">
        <f t="shared" si="10"/>
        <v>577.63333333333333</v>
      </c>
    </row>
    <row r="32" spans="1:12" x14ac:dyDescent="0.25">
      <c r="A32" s="44" t="s">
        <v>429</v>
      </c>
      <c r="B32" s="44">
        <v>3</v>
      </c>
      <c r="C32" s="118">
        <f>491+6033</f>
        <v>6524</v>
      </c>
      <c r="D32" s="45">
        <v>2800</v>
      </c>
      <c r="E32" s="45">
        <v>4682</v>
      </c>
      <c r="F32" s="46">
        <f t="shared" si="11"/>
        <v>520.22222222222217</v>
      </c>
      <c r="G32" s="45"/>
      <c r="H32" s="115">
        <f>D32*$N$9</f>
        <v>84</v>
      </c>
      <c r="I32" s="115">
        <v>6290</v>
      </c>
      <c r="J32" s="116">
        <f t="shared" si="9"/>
        <v>524.16666666666663</v>
      </c>
      <c r="K32" s="104"/>
      <c r="L32">
        <f t="shared" si="10"/>
        <v>6289.4866666666667</v>
      </c>
    </row>
    <row r="33" spans="1:12" x14ac:dyDescent="0.25">
      <c r="A33" s="44" t="s">
        <v>298</v>
      </c>
      <c r="B33" s="44">
        <v>3</v>
      </c>
      <c r="C33" s="45">
        <f>SUM('[2]2014'!C17:E17)+14</f>
        <v>152801</v>
      </c>
      <c r="D33" s="45">
        <v>0</v>
      </c>
      <c r="E33" s="45">
        <v>952</v>
      </c>
      <c r="F33" s="45">
        <f t="shared" si="11"/>
        <v>105.77777777777777</v>
      </c>
      <c r="G33" s="45"/>
      <c r="H33" s="115" t="e">
        <f t="shared" ref="H33" si="12">D33*$N$8</f>
        <v>#VALUE!</v>
      </c>
      <c r="I33" s="115">
        <v>1280</v>
      </c>
      <c r="J33" s="116">
        <f t="shared" si="9"/>
        <v>106.66666666666667</v>
      </c>
      <c r="K33" s="104"/>
      <c r="L33">
        <f t="shared" si="10"/>
        <v>1278.8533333333332</v>
      </c>
    </row>
    <row r="34" spans="1:12" x14ac:dyDescent="0.25">
      <c r="A34" s="44" t="s">
        <v>358</v>
      </c>
      <c r="B34" s="44">
        <v>3</v>
      </c>
      <c r="C34" s="118">
        <f>107556.04+40015</f>
        <v>147571.03999999998</v>
      </c>
      <c r="D34" s="45">
        <v>57430</v>
      </c>
      <c r="E34" s="45">
        <v>43880</v>
      </c>
      <c r="F34" s="46">
        <f t="shared" si="11"/>
        <v>4875.5555555555557</v>
      </c>
      <c r="G34" s="45"/>
      <c r="H34" s="115">
        <f>D34*$N$7</f>
        <v>2871.5</v>
      </c>
      <c r="I34" s="115">
        <v>59990</v>
      </c>
      <c r="J34" s="116">
        <f t="shared" si="9"/>
        <v>4999.166666666667</v>
      </c>
      <c r="K34" s="101" t="s">
        <v>566</v>
      </c>
      <c r="L34">
        <f>I15*5%</f>
        <v>59982</v>
      </c>
    </row>
    <row r="35" spans="1:12" x14ac:dyDescent="0.25">
      <c r="A35" s="44" t="s">
        <v>359</v>
      </c>
      <c r="B35" s="44">
        <v>3</v>
      </c>
      <c r="C35" s="118">
        <f>730+8330</f>
        <v>9060</v>
      </c>
      <c r="D35" s="45">
        <v>2380</v>
      </c>
      <c r="E35" s="45">
        <v>2820</v>
      </c>
      <c r="F35" s="46">
        <f t="shared" si="11"/>
        <v>313.33333333333331</v>
      </c>
      <c r="G35" s="45"/>
      <c r="H35" s="115">
        <f t="shared" ref="H35:H46" si="13">D35*$N$9</f>
        <v>71.399999999999991</v>
      </c>
      <c r="I35" s="115">
        <v>3790</v>
      </c>
      <c r="J35" s="116">
        <f t="shared" si="9"/>
        <v>315.83333333333331</v>
      </c>
      <c r="K35" s="104"/>
      <c r="L35">
        <f t="shared" si="10"/>
        <v>3788.2</v>
      </c>
    </row>
    <row r="36" spans="1:12" x14ac:dyDescent="0.25">
      <c r="A36" s="44" t="s">
        <v>520</v>
      </c>
      <c r="B36" s="44"/>
      <c r="C36" s="118"/>
      <c r="D36" s="45">
        <v>900</v>
      </c>
      <c r="E36" s="45">
        <v>0</v>
      </c>
      <c r="F36" s="46">
        <f t="shared" si="11"/>
        <v>0</v>
      </c>
      <c r="G36" s="45"/>
      <c r="H36" s="115"/>
      <c r="I36" s="115">
        <v>600</v>
      </c>
      <c r="J36" s="116">
        <f t="shared" si="9"/>
        <v>50</v>
      </c>
      <c r="K36" s="104"/>
      <c r="L36">
        <f t="shared" si="10"/>
        <v>0</v>
      </c>
    </row>
    <row r="37" spans="1:12" x14ac:dyDescent="0.25">
      <c r="A37" s="44" t="s">
        <v>299</v>
      </c>
      <c r="B37" s="44">
        <v>3</v>
      </c>
      <c r="C37" s="118">
        <f>107379.28+87767</f>
        <v>195146.28</v>
      </c>
      <c r="D37" s="45">
        <v>59950</v>
      </c>
      <c r="E37" s="45">
        <v>32688</v>
      </c>
      <c r="F37" s="46">
        <f t="shared" si="11"/>
        <v>3632</v>
      </c>
      <c r="G37" s="45"/>
      <c r="H37" s="115">
        <f t="shared" si="13"/>
        <v>1798.5</v>
      </c>
      <c r="I37" s="115">
        <v>43910</v>
      </c>
      <c r="J37" s="116">
        <f t="shared" si="9"/>
        <v>3659.1666666666665</v>
      </c>
      <c r="K37" s="104"/>
      <c r="L37">
        <f t="shared" si="10"/>
        <v>43910.880000000005</v>
      </c>
    </row>
    <row r="38" spans="1:12" x14ac:dyDescent="0.25">
      <c r="A38" s="44" t="s">
        <v>216</v>
      </c>
      <c r="B38" s="44">
        <v>3</v>
      </c>
      <c r="C38" s="118">
        <f>29650-25747</f>
        <v>3903</v>
      </c>
      <c r="D38" s="45">
        <v>2090</v>
      </c>
      <c r="E38" s="45">
        <v>1599</v>
      </c>
      <c r="F38" s="46">
        <f t="shared" si="11"/>
        <v>177.66666666666666</v>
      </c>
      <c r="G38" s="45"/>
      <c r="H38" s="115">
        <f t="shared" si="13"/>
        <v>62.699999999999996</v>
      </c>
      <c r="I38" s="115">
        <v>2150</v>
      </c>
      <c r="J38" s="116">
        <f t="shared" si="9"/>
        <v>179.16666666666666</v>
      </c>
      <c r="K38" s="104"/>
      <c r="L38">
        <f t="shared" si="10"/>
        <v>2147.9899999999998</v>
      </c>
    </row>
    <row r="39" spans="1:12" x14ac:dyDescent="0.25">
      <c r="A39" s="44" t="s">
        <v>360</v>
      </c>
      <c r="B39" s="44">
        <v>3</v>
      </c>
      <c r="C39" s="118">
        <f>7406+1333</f>
        <v>8739</v>
      </c>
      <c r="D39" s="45">
        <v>2860</v>
      </c>
      <c r="E39" s="45">
        <v>4144</v>
      </c>
      <c r="F39" s="46">
        <f t="shared" si="11"/>
        <v>460.44444444444446</v>
      </c>
      <c r="G39" s="45"/>
      <c r="H39" s="115">
        <f t="shared" si="13"/>
        <v>85.8</v>
      </c>
      <c r="I39" s="115">
        <v>5570</v>
      </c>
      <c r="J39" s="116">
        <f t="shared" si="9"/>
        <v>464.16666666666669</v>
      </c>
      <c r="K39" s="104"/>
      <c r="L39">
        <f t="shared" si="10"/>
        <v>5566.7733333333335</v>
      </c>
    </row>
    <row r="40" spans="1:12" x14ac:dyDescent="0.25">
      <c r="A40" s="44" t="s">
        <v>44</v>
      </c>
      <c r="B40" s="44">
        <v>3</v>
      </c>
      <c r="C40" s="118">
        <f>6675.83-851</f>
        <v>5824.83</v>
      </c>
      <c r="D40" s="45">
        <v>1970</v>
      </c>
      <c r="E40" s="45">
        <v>2382</v>
      </c>
      <c r="F40" s="46">
        <f t="shared" si="11"/>
        <v>264.66666666666669</v>
      </c>
      <c r="G40" s="45"/>
      <c r="H40" s="115">
        <f t="shared" si="13"/>
        <v>59.099999999999994</v>
      </c>
      <c r="I40" s="115">
        <v>3200</v>
      </c>
      <c r="J40" s="116">
        <f t="shared" si="9"/>
        <v>266.66666666666669</v>
      </c>
      <c r="K40" s="104"/>
      <c r="L40">
        <f t="shared" si="10"/>
        <v>3199.82</v>
      </c>
    </row>
    <row r="41" spans="1:12" x14ac:dyDescent="0.25">
      <c r="A41" s="44" t="s">
        <v>331</v>
      </c>
      <c r="B41" s="44">
        <v>3</v>
      </c>
      <c r="C41" s="118">
        <v>785</v>
      </c>
      <c r="D41" s="45">
        <v>110</v>
      </c>
      <c r="E41" s="45">
        <v>121</v>
      </c>
      <c r="F41" s="46">
        <f t="shared" si="11"/>
        <v>13.444444444444445</v>
      </c>
      <c r="G41" s="45"/>
      <c r="H41" s="115">
        <f t="shared" si="13"/>
        <v>3.3</v>
      </c>
      <c r="I41" s="115">
        <v>160</v>
      </c>
      <c r="J41" s="116">
        <f t="shared" si="9"/>
        <v>13.333333333333334</v>
      </c>
      <c r="K41" s="104"/>
      <c r="L41">
        <f t="shared" si="10"/>
        <v>162.54333333333335</v>
      </c>
    </row>
    <row r="42" spans="1:12" x14ac:dyDescent="0.25">
      <c r="A42" s="44" t="s">
        <v>217</v>
      </c>
      <c r="B42" s="44">
        <v>3</v>
      </c>
      <c r="C42" s="118">
        <v>583</v>
      </c>
      <c r="D42" s="45">
        <v>180</v>
      </c>
      <c r="E42" s="45">
        <v>589</v>
      </c>
      <c r="F42" s="46">
        <f t="shared" si="11"/>
        <v>65.444444444444443</v>
      </c>
      <c r="G42" s="45"/>
      <c r="H42" s="115">
        <f t="shared" si="13"/>
        <v>5.3999999999999995</v>
      </c>
      <c r="I42" s="115">
        <v>790</v>
      </c>
      <c r="J42" s="116">
        <f t="shared" si="9"/>
        <v>65.833333333333329</v>
      </c>
      <c r="K42" s="104"/>
      <c r="L42">
        <f t="shared" si="10"/>
        <v>791.22333333333336</v>
      </c>
    </row>
    <row r="43" spans="1:12" x14ac:dyDescent="0.25">
      <c r="A43" s="44" t="s">
        <v>45</v>
      </c>
      <c r="B43" s="44">
        <v>3</v>
      </c>
      <c r="C43" s="118">
        <f>1218-693</f>
        <v>525</v>
      </c>
      <c r="D43" s="45">
        <v>4420</v>
      </c>
      <c r="E43" s="45">
        <v>1633</v>
      </c>
      <c r="F43" s="46">
        <f t="shared" si="11"/>
        <v>181.44444444444446</v>
      </c>
      <c r="G43" s="45"/>
      <c r="H43" s="115">
        <f t="shared" si="13"/>
        <v>132.6</v>
      </c>
      <c r="I43" s="115">
        <v>2190</v>
      </c>
      <c r="J43" s="116">
        <f t="shared" si="9"/>
        <v>182.5</v>
      </c>
      <c r="K43" s="104"/>
      <c r="L43">
        <f t="shared" si="10"/>
        <v>2193.6633333333334</v>
      </c>
    </row>
    <row r="44" spans="1:12" x14ac:dyDescent="0.25">
      <c r="A44" s="44" t="s">
        <v>245</v>
      </c>
      <c r="B44" s="44">
        <v>3</v>
      </c>
      <c r="C44" s="118">
        <f>21316.67+15324</f>
        <v>36640.67</v>
      </c>
      <c r="D44" s="45">
        <v>6300</v>
      </c>
      <c r="E44" s="45">
        <v>3304</v>
      </c>
      <c r="F44" s="46">
        <f t="shared" si="11"/>
        <v>367.11111111111109</v>
      </c>
      <c r="G44" s="45"/>
      <c r="H44" s="115">
        <f t="shared" si="13"/>
        <v>189</v>
      </c>
      <c r="I44" s="115">
        <v>4440</v>
      </c>
      <c r="J44" s="116">
        <f t="shared" si="9"/>
        <v>370</v>
      </c>
      <c r="K44" s="104"/>
      <c r="L44">
        <f t="shared" si="10"/>
        <v>4438.373333333333</v>
      </c>
    </row>
    <row r="45" spans="1:12" x14ac:dyDescent="0.25">
      <c r="A45" s="44" t="s">
        <v>219</v>
      </c>
      <c r="B45" s="44">
        <v>3</v>
      </c>
      <c r="C45" s="118">
        <f>1000+2057</f>
        <v>3057</v>
      </c>
      <c r="D45" s="45">
        <v>1300</v>
      </c>
      <c r="E45" s="45">
        <v>0</v>
      </c>
      <c r="F45" s="46">
        <f t="shared" si="11"/>
        <v>0</v>
      </c>
      <c r="G45" s="45"/>
      <c r="H45" s="115">
        <f t="shared" si="13"/>
        <v>39</v>
      </c>
      <c r="I45" s="115">
        <v>800</v>
      </c>
      <c r="J45" s="116">
        <f t="shared" si="9"/>
        <v>66.666666666666671</v>
      </c>
      <c r="K45" s="104"/>
      <c r="L45">
        <f t="shared" si="10"/>
        <v>0</v>
      </c>
    </row>
    <row r="46" spans="1:12" x14ac:dyDescent="0.25">
      <c r="A46" s="44" t="s">
        <v>46</v>
      </c>
      <c r="B46" s="44">
        <v>3</v>
      </c>
      <c r="C46" s="119">
        <f>1437+1183</f>
        <v>2620</v>
      </c>
      <c r="D46" s="52">
        <v>4730</v>
      </c>
      <c r="E46" s="52">
        <v>715</v>
      </c>
      <c r="F46" s="52">
        <f>E46/9</f>
        <v>79.444444444444443</v>
      </c>
      <c r="G46" s="52"/>
      <c r="H46" s="142">
        <f t="shared" si="13"/>
        <v>141.9</v>
      </c>
      <c r="I46" s="142">
        <v>960</v>
      </c>
      <c r="J46" s="120">
        <f t="shared" si="9"/>
        <v>80</v>
      </c>
      <c r="K46" s="104"/>
      <c r="L46">
        <f t="shared" si="10"/>
        <v>960.48333333333335</v>
      </c>
    </row>
    <row r="47" spans="1:12" x14ac:dyDescent="0.25">
      <c r="A47" s="75" t="s">
        <v>81</v>
      </c>
      <c r="B47" s="44"/>
      <c r="C47" s="45">
        <f t="shared" ref="C47:J47" si="14">SUM(C27:C46)</f>
        <v>636345.30000000005</v>
      </c>
      <c r="D47" s="45">
        <f t="shared" si="14"/>
        <v>167730</v>
      </c>
      <c r="E47" s="45">
        <f t="shared" si="14"/>
        <v>115765</v>
      </c>
      <c r="F47" s="45">
        <f>SUM(F28:F46)</f>
        <v>12862.777777777779</v>
      </c>
      <c r="G47" s="45"/>
      <c r="H47" s="115" t="e">
        <f t="shared" si="14"/>
        <v>#VALUE!</v>
      </c>
      <c r="I47" s="115">
        <f t="shared" si="14"/>
        <v>157960</v>
      </c>
      <c r="J47" s="116">
        <f t="shared" si="14"/>
        <v>13163.333333333332</v>
      </c>
      <c r="K47" s="104"/>
    </row>
    <row r="48" spans="1:12" x14ac:dyDescent="0.25">
      <c r="A48" s="44"/>
      <c r="B48" s="44"/>
      <c r="C48" s="45"/>
      <c r="D48" s="45"/>
      <c r="E48" s="45"/>
      <c r="F48" s="45"/>
      <c r="G48" s="45"/>
      <c r="H48" s="115"/>
      <c r="I48" s="115"/>
      <c r="J48" s="116"/>
      <c r="K48" s="104"/>
    </row>
    <row r="49" spans="1:14" x14ac:dyDescent="0.25">
      <c r="A49" s="75" t="s">
        <v>450</v>
      </c>
      <c r="B49" s="44"/>
      <c r="C49" s="45"/>
      <c r="D49" s="45"/>
      <c r="E49" s="45"/>
      <c r="F49" s="45"/>
      <c r="G49" s="45"/>
      <c r="H49" s="115"/>
      <c r="I49" s="115"/>
      <c r="J49" s="116"/>
      <c r="K49" s="104"/>
    </row>
    <row r="50" spans="1:14" x14ac:dyDescent="0.25">
      <c r="A50" s="44" t="s">
        <v>220</v>
      </c>
      <c r="B50" s="44">
        <v>3</v>
      </c>
      <c r="C50" s="118">
        <f>190826.21+64005</f>
        <v>254831.21</v>
      </c>
      <c r="D50" s="45">
        <v>85120</v>
      </c>
      <c r="E50" s="45">
        <v>50026</v>
      </c>
      <c r="F50" s="45">
        <f>E50/9</f>
        <v>5558.4444444444443</v>
      </c>
      <c r="G50" s="45"/>
      <c r="H50" s="115">
        <f>D50*$N$50</f>
        <v>5958.4000000000005</v>
      </c>
      <c r="I50" s="115">
        <v>67200</v>
      </c>
      <c r="J50" s="116">
        <f t="shared" ref="J50:J54" si="15">I50/12</f>
        <v>5600</v>
      </c>
      <c r="K50" s="101" t="s">
        <v>501</v>
      </c>
      <c r="L50">
        <f t="shared" ref="L50" si="16">SUM(E50)+(F50*3)*1.03</f>
        <v>67201.593333333338</v>
      </c>
      <c r="N50" s="31">
        <v>7.0000000000000007E-2</v>
      </c>
    </row>
    <row r="51" spans="1:14" x14ac:dyDescent="0.25">
      <c r="A51" s="44" t="s">
        <v>47</v>
      </c>
      <c r="B51" s="44">
        <v>3</v>
      </c>
      <c r="C51" s="118">
        <f>133584.24+47015</f>
        <v>180599.24</v>
      </c>
      <c r="D51" s="45">
        <v>49520</v>
      </c>
      <c r="E51" s="45">
        <v>51487</v>
      </c>
      <c r="F51" s="45">
        <f t="shared" ref="F51:F52" si="17">E51/9</f>
        <v>5720.7777777777774</v>
      </c>
      <c r="G51" s="45"/>
      <c r="H51" s="115">
        <f>D51*$N$51</f>
        <v>2476</v>
      </c>
      <c r="I51" s="115">
        <v>70020</v>
      </c>
      <c r="J51" s="116">
        <f t="shared" si="15"/>
        <v>5835</v>
      </c>
      <c r="K51" s="101" t="s">
        <v>610</v>
      </c>
      <c r="L51">
        <f>SUM(E51)+(F51*3)*1.08</f>
        <v>70022.320000000007</v>
      </c>
      <c r="N51" s="31">
        <v>0.05</v>
      </c>
    </row>
    <row r="52" spans="1:14" x14ac:dyDescent="0.25">
      <c r="A52" s="44" t="s">
        <v>48</v>
      </c>
      <c r="B52" s="44">
        <v>3</v>
      </c>
      <c r="C52" s="118">
        <f>93494.6+28357</f>
        <v>121851.6</v>
      </c>
      <c r="D52" s="45">
        <v>35290</v>
      </c>
      <c r="E52" s="45">
        <v>16558</v>
      </c>
      <c r="F52" s="45">
        <f t="shared" si="17"/>
        <v>1839.7777777777778</v>
      </c>
      <c r="G52" s="45"/>
      <c r="H52" s="115">
        <f>D52*$N$52</f>
        <v>2470.3000000000002</v>
      </c>
      <c r="I52" s="115">
        <v>22300</v>
      </c>
      <c r="J52" s="116">
        <f t="shared" si="15"/>
        <v>1858.3333333333333</v>
      </c>
      <c r="K52" s="101" t="s">
        <v>533</v>
      </c>
      <c r="L52">
        <f t="shared" ref="L52" si="18">SUM(E52)+(F52*3)*1.04</f>
        <v>22298.106666666667</v>
      </c>
      <c r="N52" s="31">
        <v>7.0000000000000007E-2</v>
      </c>
    </row>
    <row r="53" spans="1:14" x14ac:dyDescent="0.25">
      <c r="A53" s="44" t="s">
        <v>49</v>
      </c>
      <c r="B53" s="44">
        <v>3</v>
      </c>
      <c r="C53" s="119">
        <f>88081.04+9347</f>
        <v>97428.04</v>
      </c>
      <c r="D53" s="52">
        <v>34060</v>
      </c>
      <c r="E53" s="52">
        <v>27132</v>
      </c>
      <c r="F53" s="52">
        <f>E53/9</f>
        <v>3014.6666666666665</v>
      </c>
      <c r="G53" s="52"/>
      <c r="H53" s="142">
        <f>D53*$N$53</f>
        <v>1703</v>
      </c>
      <c r="I53" s="142">
        <v>36630</v>
      </c>
      <c r="J53" s="120">
        <f t="shared" si="15"/>
        <v>3052.5</v>
      </c>
      <c r="K53" s="101" t="s">
        <v>585</v>
      </c>
      <c r="L53">
        <f>SUM(E53)+(F53*3)*1.05</f>
        <v>36628.199999999997</v>
      </c>
      <c r="N53" s="31">
        <v>0.05</v>
      </c>
    </row>
    <row r="54" spans="1:14" x14ac:dyDescent="0.25">
      <c r="A54" s="75" t="s">
        <v>301</v>
      </c>
      <c r="B54" s="44"/>
      <c r="C54" s="45">
        <f>SUM(C50:C53)</f>
        <v>654710.09</v>
      </c>
      <c r="D54" s="45">
        <f>SUM(D50:D53)</f>
        <v>203990</v>
      </c>
      <c r="E54" s="45">
        <f>SUM(E50:E53)</f>
        <v>145203</v>
      </c>
      <c r="F54" s="45">
        <f>SUM(F50:F53)</f>
        <v>16133.666666666666</v>
      </c>
      <c r="G54" s="45"/>
      <c r="H54" s="115">
        <f>SUM(H50:H53)</f>
        <v>12607.7</v>
      </c>
      <c r="I54" s="115">
        <f>SUM(I50:I53)</f>
        <v>196150</v>
      </c>
      <c r="J54" s="116">
        <f t="shared" si="15"/>
        <v>16345.833333333334</v>
      </c>
      <c r="K54" s="101"/>
    </row>
    <row r="55" spans="1:14" x14ac:dyDescent="0.25">
      <c r="A55" s="44"/>
      <c r="B55" s="44"/>
      <c r="C55" s="45"/>
      <c r="D55" s="45"/>
      <c r="E55" s="45"/>
      <c r="F55" s="45"/>
      <c r="G55" s="45"/>
      <c r="H55" s="115"/>
      <c r="I55" s="115"/>
      <c r="J55" s="116"/>
      <c r="K55" s="101"/>
    </row>
    <row r="56" spans="1:14" x14ac:dyDescent="0.25">
      <c r="A56" s="75" t="s">
        <v>451</v>
      </c>
      <c r="B56" s="44"/>
      <c r="C56" s="45"/>
      <c r="D56" s="45"/>
      <c r="E56" s="45"/>
      <c r="F56" s="45"/>
      <c r="G56" s="45"/>
      <c r="H56" s="115"/>
      <c r="I56" s="115"/>
      <c r="J56" s="116"/>
      <c r="K56" s="101"/>
    </row>
    <row r="57" spans="1:14" x14ac:dyDescent="0.25">
      <c r="A57" s="44" t="s">
        <v>361</v>
      </c>
      <c r="B57" s="44">
        <v>3</v>
      </c>
      <c r="C57" s="118">
        <f>2255+15</f>
        <v>2270</v>
      </c>
      <c r="D57" s="45">
        <v>910</v>
      </c>
      <c r="E57" s="45">
        <v>336</v>
      </c>
      <c r="F57" s="45">
        <f>E57/9</f>
        <v>37.333333333333336</v>
      </c>
      <c r="G57" s="45"/>
      <c r="H57" s="115">
        <f t="shared" ref="H57:H69" si="19">D57*$N$50</f>
        <v>63.7</v>
      </c>
      <c r="I57" s="115">
        <v>450</v>
      </c>
      <c r="J57" s="116">
        <f t="shared" ref="J57:J70" si="20">I57/12</f>
        <v>37.5</v>
      </c>
      <c r="K57" s="104"/>
      <c r="L57">
        <f t="shared" ref="L57:L69" si="21">SUM(E57)+(F57*3)*1.03</f>
        <v>451.36</v>
      </c>
    </row>
    <row r="58" spans="1:14" x14ac:dyDescent="0.25">
      <c r="A58" s="44" t="s">
        <v>362</v>
      </c>
      <c r="B58" s="44">
        <v>3</v>
      </c>
      <c r="C58" s="118">
        <f>45415.52-16341</f>
        <v>29074.519999999997</v>
      </c>
      <c r="D58" s="45">
        <v>16220</v>
      </c>
      <c r="E58" s="45">
        <v>16201</v>
      </c>
      <c r="F58" s="45">
        <f t="shared" ref="F58:F68" si="22">E58/9</f>
        <v>1800.1111111111111</v>
      </c>
      <c r="G58" s="45"/>
      <c r="H58" s="115">
        <f t="shared" si="19"/>
        <v>1135.4000000000001</v>
      </c>
      <c r="I58" s="115">
        <v>21760</v>
      </c>
      <c r="J58" s="116">
        <f t="shared" si="20"/>
        <v>1813.3333333333333</v>
      </c>
      <c r="K58" s="104"/>
      <c r="L58">
        <f t="shared" si="21"/>
        <v>21763.343333333334</v>
      </c>
    </row>
    <row r="59" spans="1:14" x14ac:dyDescent="0.25">
      <c r="A59" s="44" t="s">
        <v>52</v>
      </c>
      <c r="B59" s="44">
        <v>3</v>
      </c>
      <c r="C59" s="118">
        <f>7381.66+12890</f>
        <v>20271.66</v>
      </c>
      <c r="D59" s="45">
        <v>3490</v>
      </c>
      <c r="E59" s="45">
        <v>20599</v>
      </c>
      <c r="F59" s="45">
        <f t="shared" si="22"/>
        <v>2288.7777777777778</v>
      </c>
      <c r="G59" s="45"/>
      <c r="H59" s="115">
        <f t="shared" si="19"/>
        <v>244.3</v>
      </c>
      <c r="I59" s="115">
        <v>3540</v>
      </c>
      <c r="J59" s="116">
        <f t="shared" si="20"/>
        <v>295</v>
      </c>
      <c r="K59" s="101" t="s">
        <v>598</v>
      </c>
      <c r="L59">
        <f t="shared" si="21"/>
        <v>27671.323333333334</v>
      </c>
    </row>
    <row r="60" spans="1:14" x14ac:dyDescent="0.25">
      <c r="A60" s="44" t="s">
        <v>341</v>
      </c>
      <c r="B60" s="44">
        <v>3</v>
      </c>
      <c r="C60" s="118">
        <f>35812.54+637</f>
        <v>36449.54</v>
      </c>
      <c r="D60" s="45">
        <v>13900</v>
      </c>
      <c r="E60" s="45">
        <v>11118</v>
      </c>
      <c r="F60" s="45">
        <f t="shared" si="22"/>
        <v>1235.3333333333333</v>
      </c>
      <c r="G60" s="45"/>
      <c r="H60" s="115">
        <f t="shared" si="19"/>
        <v>973.00000000000011</v>
      </c>
      <c r="I60" s="115">
        <v>14970</v>
      </c>
      <c r="J60" s="116">
        <f t="shared" si="20"/>
        <v>1247.5</v>
      </c>
      <c r="K60" s="101" t="s">
        <v>542</v>
      </c>
      <c r="L60">
        <f>SUM(E60)+(F60*3)*1.04</f>
        <v>14972.24</v>
      </c>
    </row>
    <row r="61" spans="1:14" x14ac:dyDescent="0.25">
      <c r="A61" s="44" t="s">
        <v>363</v>
      </c>
      <c r="B61" s="44">
        <v>3</v>
      </c>
      <c r="C61" s="118">
        <f>3812.46+10347</f>
        <v>14159.46</v>
      </c>
      <c r="D61" s="45">
        <v>5120</v>
      </c>
      <c r="E61" s="45">
        <v>4264</v>
      </c>
      <c r="F61" s="45">
        <f t="shared" si="22"/>
        <v>473.77777777777777</v>
      </c>
      <c r="G61" s="45"/>
      <c r="H61" s="115">
        <v>0</v>
      </c>
      <c r="I61" s="115">
        <v>5730</v>
      </c>
      <c r="J61" s="116">
        <f t="shared" si="20"/>
        <v>477.5</v>
      </c>
      <c r="K61" s="101"/>
      <c r="L61">
        <f t="shared" si="21"/>
        <v>5727.9733333333334</v>
      </c>
    </row>
    <row r="62" spans="1:14" x14ac:dyDescent="0.25">
      <c r="A62" s="44" t="s">
        <v>364</v>
      </c>
      <c r="B62" s="44">
        <v>3</v>
      </c>
      <c r="C62" s="118">
        <f>8256.96+41</f>
        <v>8297.9599999999991</v>
      </c>
      <c r="D62" s="45">
        <v>7770</v>
      </c>
      <c r="E62" s="45">
        <v>13472</v>
      </c>
      <c r="F62" s="45">
        <f t="shared" si="22"/>
        <v>1496.8888888888889</v>
      </c>
      <c r="G62" s="45"/>
      <c r="H62" s="115">
        <f t="shared" si="19"/>
        <v>543.90000000000009</v>
      </c>
      <c r="I62" s="115">
        <v>18100</v>
      </c>
      <c r="J62" s="116">
        <f t="shared" si="20"/>
        <v>1508.3333333333333</v>
      </c>
      <c r="K62" s="104"/>
      <c r="L62">
        <f t="shared" si="21"/>
        <v>18097.386666666665</v>
      </c>
    </row>
    <row r="63" spans="1:14" x14ac:dyDescent="0.25">
      <c r="A63" s="44" t="s">
        <v>365</v>
      </c>
      <c r="B63" s="44">
        <v>3</v>
      </c>
      <c r="C63" s="118">
        <f>23738.31+38</f>
        <v>23776.31</v>
      </c>
      <c r="D63" s="45">
        <v>6780</v>
      </c>
      <c r="E63" s="45">
        <v>3268</v>
      </c>
      <c r="F63" s="45">
        <f t="shared" si="22"/>
        <v>363.11111111111109</v>
      </c>
      <c r="G63" s="45"/>
      <c r="H63" s="115">
        <f t="shared" si="19"/>
        <v>474.6</v>
      </c>
      <c r="I63" s="115">
        <v>4390</v>
      </c>
      <c r="J63" s="116">
        <f t="shared" si="20"/>
        <v>365.83333333333331</v>
      </c>
      <c r="K63" s="104"/>
      <c r="L63">
        <f t="shared" si="21"/>
        <v>4390.0133333333333</v>
      </c>
    </row>
    <row r="64" spans="1:14" x14ac:dyDescent="0.25">
      <c r="A64" s="44" t="s">
        <v>56</v>
      </c>
      <c r="B64" s="44">
        <v>3</v>
      </c>
      <c r="C64" s="118">
        <f>164182.73+36003</f>
        <v>200185.73</v>
      </c>
      <c r="D64" s="45">
        <v>79130</v>
      </c>
      <c r="E64" s="45">
        <v>51075</v>
      </c>
      <c r="F64" s="45">
        <f t="shared" si="22"/>
        <v>5675</v>
      </c>
      <c r="G64" s="45"/>
      <c r="H64" s="115">
        <f t="shared" si="19"/>
        <v>5539.1</v>
      </c>
      <c r="I64" s="115">
        <v>68610</v>
      </c>
      <c r="J64" s="116">
        <f t="shared" si="20"/>
        <v>5717.5</v>
      </c>
      <c r="K64" s="104"/>
      <c r="L64">
        <f t="shared" si="21"/>
        <v>68610.75</v>
      </c>
    </row>
    <row r="65" spans="1:18" x14ac:dyDescent="0.25">
      <c r="A65" s="44" t="s">
        <v>223</v>
      </c>
      <c r="B65" s="44">
        <v>3</v>
      </c>
      <c r="C65" s="118">
        <f>105129.42+23113</f>
        <v>128242.42</v>
      </c>
      <c r="D65" s="45">
        <v>43950</v>
      </c>
      <c r="E65" s="45">
        <v>30962</v>
      </c>
      <c r="F65" s="45">
        <f t="shared" si="22"/>
        <v>3440.2222222222222</v>
      </c>
      <c r="G65" s="45"/>
      <c r="H65" s="115">
        <f t="shared" si="19"/>
        <v>3076.5000000000005</v>
      </c>
      <c r="I65" s="115">
        <f>41590+2500</f>
        <v>44090</v>
      </c>
      <c r="J65" s="116">
        <f t="shared" si="20"/>
        <v>3674.1666666666665</v>
      </c>
      <c r="K65" s="101" t="s">
        <v>602</v>
      </c>
      <c r="L65">
        <f t="shared" si="21"/>
        <v>41592.286666666667</v>
      </c>
    </row>
    <row r="66" spans="1:18" x14ac:dyDescent="0.25">
      <c r="A66" s="44" t="s">
        <v>366</v>
      </c>
      <c r="B66" s="44">
        <v>3</v>
      </c>
      <c r="C66" s="118">
        <f>150662.86+18347</f>
        <v>169009.86</v>
      </c>
      <c r="D66" s="45">
        <v>85010</v>
      </c>
      <c r="E66" s="45">
        <v>58437</v>
      </c>
      <c r="F66" s="45">
        <f t="shared" si="22"/>
        <v>6493</v>
      </c>
      <c r="G66" s="45"/>
      <c r="H66" s="115">
        <f t="shared" si="19"/>
        <v>5950.7000000000007</v>
      </c>
      <c r="I66" s="115">
        <v>78500</v>
      </c>
      <c r="J66" s="116">
        <f t="shared" si="20"/>
        <v>6541.666666666667</v>
      </c>
      <c r="K66" s="104"/>
      <c r="L66">
        <f t="shared" si="21"/>
        <v>78500.37</v>
      </c>
    </row>
    <row r="67" spans="1:18" x14ac:dyDescent="0.25">
      <c r="A67" s="44" t="s">
        <v>496</v>
      </c>
      <c r="B67" s="44"/>
      <c r="C67" s="118"/>
      <c r="D67" s="45">
        <v>23000</v>
      </c>
      <c r="E67" s="46">
        <v>40113</v>
      </c>
      <c r="F67" s="46">
        <f t="shared" si="22"/>
        <v>4457</v>
      </c>
      <c r="G67" s="46"/>
      <c r="H67" s="57">
        <v>0</v>
      </c>
      <c r="I67" s="266">
        <v>53880</v>
      </c>
      <c r="J67" s="58">
        <f t="shared" si="20"/>
        <v>4490</v>
      </c>
      <c r="K67" s="101"/>
      <c r="L67">
        <f t="shared" si="21"/>
        <v>53885.130000000005</v>
      </c>
      <c r="M67" s="104"/>
      <c r="N67" s="104"/>
      <c r="O67" s="104"/>
      <c r="P67" s="104"/>
      <c r="Q67" s="104"/>
      <c r="R67" s="104"/>
    </row>
    <row r="68" spans="1:18" x14ac:dyDescent="0.25">
      <c r="A68" s="44" t="s">
        <v>497</v>
      </c>
      <c r="B68" s="44"/>
      <c r="C68" s="118"/>
      <c r="D68" s="45">
        <v>3000</v>
      </c>
      <c r="E68" s="46">
        <v>8836</v>
      </c>
      <c r="F68" s="46">
        <f t="shared" si="22"/>
        <v>981.77777777777783</v>
      </c>
      <c r="G68" s="46"/>
      <c r="H68" s="57">
        <v>0</v>
      </c>
      <c r="I68" s="57">
        <v>11870</v>
      </c>
      <c r="J68" s="58">
        <f t="shared" si="20"/>
        <v>989.16666666666663</v>
      </c>
      <c r="K68" s="101"/>
      <c r="L68">
        <f t="shared" si="21"/>
        <v>11869.693333333333</v>
      </c>
      <c r="M68" s="104"/>
      <c r="N68" s="104"/>
      <c r="O68" s="104"/>
      <c r="P68" s="104"/>
      <c r="Q68" s="104"/>
      <c r="R68" s="104"/>
    </row>
    <row r="69" spans="1:18" x14ac:dyDescent="0.25">
      <c r="A69" s="44" t="s">
        <v>57</v>
      </c>
      <c r="B69" s="44">
        <v>3</v>
      </c>
      <c r="C69" s="119">
        <f>25435.87-6342</f>
        <v>19093.87</v>
      </c>
      <c r="D69" s="52">
        <v>9880</v>
      </c>
      <c r="E69" s="52">
        <v>7873</v>
      </c>
      <c r="F69" s="52">
        <f>E69/9</f>
        <v>874.77777777777783</v>
      </c>
      <c r="G69" s="52"/>
      <c r="H69" s="142">
        <f t="shared" si="19"/>
        <v>691.6</v>
      </c>
      <c r="I69" s="142">
        <v>10580</v>
      </c>
      <c r="J69" s="120">
        <f t="shared" si="20"/>
        <v>881.66666666666663</v>
      </c>
      <c r="K69" s="104"/>
      <c r="L69">
        <f t="shared" si="21"/>
        <v>10576.063333333334</v>
      </c>
    </row>
    <row r="70" spans="1:18" x14ac:dyDescent="0.25">
      <c r="A70" s="75" t="s">
        <v>84</v>
      </c>
      <c r="B70" s="44"/>
      <c r="C70" s="45">
        <f>SUM(C55:C69)</f>
        <v>650831.32999999996</v>
      </c>
      <c r="D70" s="45">
        <f>SUM(D55:D69)</f>
        <v>298160</v>
      </c>
      <c r="E70" s="45">
        <f>SUM(E55:E69)</f>
        <v>266554</v>
      </c>
      <c r="F70" s="45">
        <f>SUM(F57:F69)</f>
        <v>29617.111111111109</v>
      </c>
      <c r="G70" s="45"/>
      <c r="H70" s="115">
        <f>SUM(H55:H69)</f>
        <v>18692.8</v>
      </c>
      <c r="I70" s="115">
        <f>SUM(I55:I69)</f>
        <v>336470</v>
      </c>
      <c r="J70" s="116">
        <f t="shared" si="20"/>
        <v>28039.166666666668</v>
      </c>
      <c r="K70" s="104"/>
    </row>
    <row r="71" spans="1:18" x14ac:dyDescent="0.25">
      <c r="A71" s="44"/>
      <c r="B71" s="44"/>
      <c r="C71" s="45"/>
      <c r="D71" s="45"/>
      <c r="E71" s="45"/>
      <c r="F71" s="45"/>
      <c r="G71" s="45"/>
      <c r="H71" s="115"/>
      <c r="I71" s="115"/>
      <c r="J71" s="116"/>
      <c r="K71" s="104"/>
    </row>
    <row r="72" spans="1:18" x14ac:dyDescent="0.25">
      <c r="A72" s="75" t="s">
        <v>452</v>
      </c>
      <c r="B72" s="44"/>
      <c r="C72" s="45"/>
      <c r="D72" s="45"/>
      <c r="E72" s="45"/>
      <c r="F72" s="45"/>
      <c r="G72" s="45"/>
      <c r="H72" s="115"/>
      <c r="I72" s="115"/>
      <c r="J72" s="116"/>
      <c r="K72" s="104"/>
    </row>
    <row r="73" spans="1:18" x14ac:dyDescent="0.25">
      <c r="A73" s="44" t="s">
        <v>42</v>
      </c>
      <c r="B73" s="44">
        <v>3</v>
      </c>
      <c r="C73" s="118">
        <f>21432.77+639</f>
        <v>22071.77</v>
      </c>
      <c r="D73" s="45">
        <v>12100</v>
      </c>
      <c r="E73" s="45">
        <v>6262</v>
      </c>
      <c r="F73" s="45">
        <f>E73/9</f>
        <v>695.77777777777783</v>
      </c>
      <c r="G73" s="118"/>
      <c r="H73" s="115">
        <v>0</v>
      </c>
      <c r="I73" s="115">
        <v>10090</v>
      </c>
      <c r="J73" s="116">
        <f t="shared" ref="J73:J80" si="23">I73/12</f>
        <v>840.83333333333337</v>
      </c>
      <c r="K73" s="101" t="s">
        <v>425</v>
      </c>
      <c r="L73">
        <f>SUM($I$28+$I$37+$I$64)*7.65%</f>
        <v>10090.35</v>
      </c>
      <c r="N73" s="34">
        <v>7.6499999999999999E-2</v>
      </c>
    </row>
    <row r="74" spans="1:18" x14ac:dyDescent="0.25">
      <c r="A74" s="44" t="s">
        <v>306</v>
      </c>
      <c r="B74" s="44">
        <v>3</v>
      </c>
      <c r="C74" s="118">
        <f>88062.91+36195</f>
        <v>124257.91</v>
      </c>
      <c r="D74" s="45">
        <v>32860</v>
      </c>
      <c r="E74" s="45">
        <v>25467</v>
      </c>
      <c r="F74" s="45">
        <f t="shared" ref="F74:F79" si="24">E74/9</f>
        <v>2829.6666666666665</v>
      </c>
      <c r="G74" s="118"/>
      <c r="H74" s="115">
        <f>D74*$N$74</f>
        <v>1643</v>
      </c>
      <c r="I74" s="115">
        <v>34380</v>
      </c>
      <c r="J74" s="116">
        <f t="shared" si="23"/>
        <v>2865</v>
      </c>
      <c r="K74" s="101" t="s">
        <v>422</v>
      </c>
      <c r="L74">
        <f>SUM(E74)+(F74*3)*1.05</f>
        <v>34380.449999999997</v>
      </c>
      <c r="N74" s="31">
        <v>0.05</v>
      </c>
    </row>
    <row r="75" spans="1:18" x14ac:dyDescent="0.25">
      <c r="A75" s="44" t="s">
        <v>59</v>
      </c>
      <c r="B75" s="44">
        <v>3</v>
      </c>
      <c r="C75" s="118">
        <f>41963.76+66983</f>
        <v>108946.76000000001</v>
      </c>
      <c r="D75" s="45">
        <v>47470</v>
      </c>
      <c r="E75" s="45">
        <v>19362</v>
      </c>
      <c r="F75" s="45">
        <f t="shared" si="24"/>
        <v>2151.3333333333335</v>
      </c>
      <c r="G75" s="118"/>
      <c r="H75" s="115">
        <v>0</v>
      </c>
      <c r="I75" s="115">
        <v>39570</v>
      </c>
      <c r="J75" s="116">
        <f t="shared" si="23"/>
        <v>3297.5</v>
      </c>
      <c r="K75" s="101" t="s">
        <v>502</v>
      </c>
      <c r="L75">
        <f>SUM($I$28+$I$37+$I$64)*30%</f>
        <v>39570</v>
      </c>
      <c r="N75" s="31">
        <v>0.3</v>
      </c>
    </row>
    <row r="76" spans="1:18" x14ac:dyDescent="0.25">
      <c r="A76" s="44" t="s">
        <v>367</v>
      </c>
      <c r="B76" s="44">
        <v>3</v>
      </c>
      <c r="C76" s="118">
        <f>6592.01-3</f>
        <v>6589.01</v>
      </c>
      <c r="D76" s="45">
        <v>3480</v>
      </c>
      <c r="E76" s="45">
        <v>4171</v>
      </c>
      <c r="F76" s="45">
        <f t="shared" si="24"/>
        <v>463.44444444444446</v>
      </c>
      <c r="G76" s="118"/>
      <c r="H76" s="115">
        <f>D76*$N$50</f>
        <v>243.60000000000002</v>
      </c>
      <c r="I76" s="115">
        <v>3960</v>
      </c>
      <c r="J76" s="116">
        <f t="shared" si="23"/>
        <v>330</v>
      </c>
      <c r="K76" s="101" t="s">
        <v>543</v>
      </c>
      <c r="L76">
        <f>SUM($I$28+$I$37+$I$64)*3%</f>
        <v>3957</v>
      </c>
    </row>
    <row r="77" spans="1:18" x14ac:dyDescent="0.25">
      <c r="A77" s="44" t="s">
        <v>368</v>
      </c>
      <c r="B77" s="44">
        <v>3</v>
      </c>
      <c r="C77" s="118">
        <f>21596.35+6665</f>
        <v>28261.35</v>
      </c>
      <c r="D77" s="45">
        <v>11930</v>
      </c>
      <c r="E77" s="45">
        <v>19829</v>
      </c>
      <c r="F77" s="45">
        <f t="shared" si="24"/>
        <v>2203.2222222222222</v>
      </c>
      <c r="G77" s="118"/>
      <c r="H77" s="115">
        <f>D77*$N$50</f>
        <v>835.1</v>
      </c>
      <c r="I77" s="115">
        <v>26640</v>
      </c>
      <c r="J77" s="116">
        <f t="shared" si="23"/>
        <v>2220</v>
      </c>
      <c r="K77" s="104"/>
      <c r="L77">
        <f t="shared" ref="L77:L78" si="25">SUM(E77)+(F77*3)*1.03</f>
        <v>26636.956666666665</v>
      </c>
    </row>
    <row r="78" spans="1:18" x14ac:dyDescent="0.25">
      <c r="A78" s="44" t="s">
        <v>70</v>
      </c>
      <c r="B78" s="44"/>
      <c r="C78" s="45"/>
      <c r="D78" s="45">
        <v>0</v>
      </c>
      <c r="E78" s="45">
        <v>8236</v>
      </c>
      <c r="F78" s="45">
        <f t="shared" si="24"/>
        <v>915.11111111111109</v>
      </c>
      <c r="G78" s="45"/>
      <c r="H78" s="115"/>
      <c r="I78" s="115">
        <v>3600</v>
      </c>
      <c r="J78" s="116">
        <f t="shared" si="23"/>
        <v>300</v>
      </c>
      <c r="K78" s="101"/>
      <c r="L78">
        <f t="shared" si="25"/>
        <v>11063.693333333333</v>
      </c>
    </row>
    <row r="79" spans="1:18" x14ac:dyDescent="0.25">
      <c r="A79" s="44" t="s">
        <v>435</v>
      </c>
      <c r="B79" s="44"/>
      <c r="C79" s="118"/>
      <c r="D79" s="45">
        <v>41268</v>
      </c>
      <c r="E79" s="45">
        <v>0</v>
      </c>
      <c r="F79" s="45">
        <f t="shared" si="24"/>
        <v>0</v>
      </c>
      <c r="G79" s="118"/>
      <c r="H79" s="115">
        <v>0</v>
      </c>
      <c r="I79" s="115">
        <v>0</v>
      </c>
      <c r="J79" s="116">
        <f t="shared" si="23"/>
        <v>0</v>
      </c>
      <c r="K79" s="101" t="s">
        <v>561</v>
      </c>
    </row>
    <row r="80" spans="1:18" x14ac:dyDescent="0.25">
      <c r="A80" s="44" t="s">
        <v>62</v>
      </c>
      <c r="B80" s="44">
        <v>3</v>
      </c>
      <c r="C80" s="118">
        <v>378755.60333333333</v>
      </c>
      <c r="D80" s="52">
        <v>223530</v>
      </c>
      <c r="E80" s="52">
        <v>173594</v>
      </c>
      <c r="F80" s="52">
        <f>E80/9</f>
        <v>19288.222222222223</v>
      </c>
      <c r="G80" s="119"/>
      <c r="H80" s="142">
        <v>0</v>
      </c>
      <c r="I80" s="142">
        <v>231460</v>
      </c>
      <c r="J80" s="120">
        <f t="shared" si="23"/>
        <v>19288.333333333332</v>
      </c>
      <c r="K80" s="101" t="s">
        <v>350</v>
      </c>
    </row>
    <row r="81" spans="1:11" x14ac:dyDescent="0.25">
      <c r="A81" s="75" t="s">
        <v>85</v>
      </c>
      <c r="B81" s="44"/>
      <c r="C81" s="45">
        <f>SUM(C76:C80)</f>
        <v>413605.96333333332</v>
      </c>
      <c r="D81" s="45">
        <f>SUM(D73:D80)</f>
        <v>372638</v>
      </c>
      <c r="E81" s="45">
        <f>SUM(E73:E80)</f>
        <v>256921</v>
      </c>
      <c r="F81" s="45">
        <f>SUM(F73:F80)</f>
        <v>28546.777777777777</v>
      </c>
      <c r="G81" s="45"/>
      <c r="H81" s="115">
        <f>SUM(H73:H80)</f>
        <v>2721.7</v>
      </c>
      <c r="I81" s="115">
        <f>SUM(I73:I80)</f>
        <v>349700</v>
      </c>
      <c r="J81" s="116">
        <f>SUM(J73:J80)</f>
        <v>29141.666666666664</v>
      </c>
      <c r="K81" s="104"/>
    </row>
    <row r="82" spans="1:11" x14ac:dyDescent="0.25">
      <c r="A82" s="44"/>
      <c r="B82" s="44"/>
      <c r="C82" s="45"/>
      <c r="D82" s="45"/>
      <c r="E82" s="45"/>
      <c r="F82" s="45"/>
      <c r="G82" s="45"/>
      <c r="H82" s="115"/>
      <c r="I82" s="115"/>
      <c r="J82" s="116"/>
      <c r="K82" s="104"/>
    </row>
    <row r="83" spans="1:11" x14ac:dyDescent="0.25">
      <c r="A83" s="75" t="s">
        <v>454</v>
      </c>
      <c r="B83" s="44"/>
      <c r="C83" s="45"/>
      <c r="D83" s="45"/>
      <c r="E83" s="45"/>
      <c r="F83" s="45"/>
      <c r="G83" s="45"/>
      <c r="H83" s="115"/>
      <c r="I83" s="115"/>
      <c r="J83" s="116"/>
      <c r="K83" s="104"/>
    </row>
    <row r="84" spans="1:11" x14ac:dyDescent="0.25">
      <c r="A84" s="44" t="s">
        <v>307</v>
      </c>
      <c r="B84" s="44">
        <v>3</v>
      </c>
      <c r="C84" s="45">
        <v>131228.83333333331</v>
      </c>
      <c r="D84" s="45">
        <v>123620</v>
      </c>
      <c r="E84" s="45">
        <v>103404</v>
      </c>
      <c r="F84" s="45">
        <f>E84/9</f>
        <v>11489.333333333334</v>
      </c>
      <c r="G84" s="45"/>
      <c r="H84" s="115">
        <v>0</v>
      </c>
      <c r="I84" s="115">
        <v>117990</v>
      </c>
      <c r="J84" s="116">
        <f>I84/12</f>
        <v>9832.5</v>
      </c>
      <c r="K84" s="101" t="s">
        <v>507</v>
      </c>
    </row>
    <row r="85" spans="1:11" hidden="1" x14ac:dyDescent="0.25">
      <c r="A85" s="44" t="s">
        <v>441</v>
      </c>
      <c r="B85" s="44"/>
      <c r="C85" s="45"/>
      <c r="D85" s="45">
        <v>0</v>
      </c>
      <c r="E85" s="45">
        <v>0</v>
      </c>
      <c r="F85" s="45">
        <f>E85/9</f>
        <v>0</v>
      </c>
      <c r="G85" s="45"/>
      <c r="H85" s="115">
        <v>0</v>
      </c>
      <c r="I85" s="115">
        <v>0</v>
      </c>
      <c r="J85" s="116">
        <f>I85/12</f>
        <v>0</v>
      </c>
      <c r="K85" s="101" t="s">
        <v>507</v>
      </c>
    </row>
    <row r="86" spans="1:11" x14ac:dyDescent="0.25">
      <c r="A86" s="44" t="s">
        <v>289</v>
      </c>
      <c r="B86" s="44">
        <v>3</v>
      </c>
      <c r="C86" s="52">
        <v>273017.75666666671</v>
      </c>
      <c r="D86" s="52">
        <v>122590</v>
      </c>
      <c r="E86" s="52">
        <v>101772</v>
      </c>
      <c r="F86" s="52">
        <f>E86/9</f>
        <v>11308</v>
      </c>
      <c r="G86" s="52"/>
      <c r="H86" s="142">
        <v>0</v>
      </c>
      <c r="I86" s="142">
        <v>128220</v>
      </c>
      <c r="J86" s="120">
        <f>I86/12</f>
        <v>10685</v>
      </c>
      <c r="K86" s="101" t="s">
        <v>507</v>
      </c>
    </row>
    <row r="87" spans="1:11" x14ac:dyDescent="0.25">
      <c r="A87" s="75" t="s">
        <v>308</v>
      </c>
      <c r="B87" s="44"/>
      <c r="C87" s="45">
        <f t="shared" ref="C87:J87" si="26">SUM(C84:C86)</f>
        <v>404246.59</v>
      </c>
      <c r="D87" s="45">
        <f t="shared" si="26"/>
        <v>246210</v>
      </c>
      <c r="E87" s="45">
        <f t="shared" si="26"/>
        <v>205176</v>
      </c>
      <c r="F87" s="45">
        <f>SUM(F84:F86)</f>
        <v>22797.333333333336</v>
      </c>
      <c r="G87" s="45"/>
      <c r="H87" s="115">
        <f t="shared" si="26"/>
        <v>0</v>
      </c>
      <c r="I87" s="115">
        <f t="shared" si="26"/>
        <v>246210</v>
      </c>
      <c r="J87" s="116">
        <f t="shared" si="26"/>
        <v>20517.5</v>
      </c>
      <c r="K87" s="101"/>
    </row>
    <row r="88" spans="1:11" x14ac:dyDescent="0.25">
      <c r="A88" s="75"/>
      <c r="B88" s="44"/>
      <c r="C88" s="45"/>
      <c r="D88" s="45"/>
      <c r="E88" s="45"/>
      <c r="F88" s="45"/>
      <c r="G88" s="45"/>
      <c r="H88" s="115"/>
      <c r="I88" s="115"/>
      <c r="J88" s="116"/>
      <c r="K88" s="101"/>
    </row>
    <row r="89" spans="1:11" x14ac:dyDescent="0.25">
      <c r="A89" s="75" t="s">
        <v>78</v>
      </c>
      <c r="B89" s="44"/>
      <c r="C89" s="45"/>
      <c r="D89" s="45"/>
      <c r="E89" s="45"/>
      <c r="F89" s="45"/>
      <c r="G89" s="45"/>
      <c r="H89" s="115"/>
      <c r="I89" s="115"/>
      <c r="J89" s="116"/>
      <c r="K89" s="101"/>
    </row>
    <row r="90" spans="1:11" x14ac:dyDescent="0.25">
      <c r="A90" s="44" t="s">
        <v>63</v>
      </c>
      <c r="B90" s="44">
        <v>3</v>
      </c>
      <c r="C90" s="118">
        <v>9000</v>
      </c>
      <c r="D90" s="52">
        <v>36000</v>
      </c>
      <c r="E90" s="52">
        <v>27000</v>
      </c>
      <c r="F90" s="52">
        <f>E90/9</f>
        <v>3000</v>
      </c>
      <c r="G90" s="52"/>
      <c r="H90" s="142">
        <v>0</v>
      </c>
      <c r="I90" s="83">
        <f>D90+H90</f>
        <v>36000</v>
      </c>
      <c r="J90" s="85">
        <f>I90/12</f>
        <v>3000</v>
      </c>
      <c r="K90" s="101"/>
    </row>
    <row r="91" spans="1:11" x14ac:dyDescent="0.25">
      <c r="A91" s="75" t="s">
        <v>86</v>
      </c>
      <c r="B91" s="44"/>
      <c r="C91" s="45">
        <f>SUM(C88:C90)</f>
        <v>9000</v>
      </c>
      <c r="D91" s="45">
        <f t="shared" ref="D91:J91" si="27">SUM(D88:D90)</f>
        <v>36000</v>
      </c>
      <c r="E91" s="45">
        <f t="shared" si="27"/>
        <v>27000</v>
      </c>
      <c r="F91" s="45">
        <f>SUM(F90)</f>
        <v>3000</v>
      </c>
      <c r="G91" s="45"/>
      <c r="H91" s="115">
        <f t="shared" si="27"/>
        <v>0</v>
      </c>
      <c r="I91" s="115">
        <f t="shared" si="27"/>
        <v>36000</v>
      </c>
      <c r="J91" s="116">
        <f t="shared" si="27"/>
        <v>3000</v>
      </c>
      <c r="K91" s="101"/>
    </row>
    <row r="92" spans="1:11" x14ac:dyDescent="0.25">
      <c r="A92" s="75"/>
      <c r="B92" s="44"/>
      <c r="C92" s="45"/>
      <c r="D92" s="45"/>
      <c r="E92" s="45"/>
      <c r="F92" s="45"/>
      <c r="G92" s="45"/>
      <c r="H92" s="115"/>
      <c r="I92" s="115"/>
      <c r="J92" s="116"/>
      <c r="K92" s="101"/>
    </row>
    <row r="93" spans="1:11" x14ac:dyDescent="0.25">
      <c r="A93" s="75" t="s">
        <v>453</v>
      </c>
      <c r="B93" s="44"/>
      <c r="C93" s="45"/>
      <c r="D93" s="45"/>
      <c r="E93" s="45"/>
      <c r="F93" s="45"/>
      <c r="G93" s="45"/>
      <c r="H93" s="115"/>
      <c r="I93" s="115"/>
      <c r="J93" s="116"/>
      <c r="K93" s="101"/>
    </row>
    <row r="94" spans="1:11" x14ac:dyDescent="0.25">
      <c r="A94" s="44" t="s">
        <v>291</v>
      </c>
      <c r="B94" s="44">
        <v>3</v>
      </c>
      <c r="C94" s="118">
        <v>6433.333333333333</v>
      </c>
      <c r="D94" s="45">
        <v>6000</v>
      </c>
      <c r="E94" s="45">
        <v>4895</v>
      </c>
      <c r="F94" s="45">
        <f>E94/9</f>
        <v>543.88888888888891</v>
      </c>
      <c r="G94" s="45"/>
      <c r="H94" s="115">
        <v>0</v>
      </c>
      <c r="I94" s="115">
        <v>0</v>
      </c>
      <c r="J94" s="116">
        <f t="shared" ref="J94:J99" si="28">I94/12</f>
        <v>0</v>
      </c>
      <c r="K94" s="101" t="s">
        <v>562</v>
      </c>
    </row>
    <row r="95" spans="1:11" x14ac:dyDescent="0.25">
      <c r="A95" s="44" t="s">
        <v>25</v>
      </c>
      <c r="B95" s="44">
        <v>3</v>
      </c>
      <c r="C95" s="118">
        <v>3210</v>
      </c>
      <c r="D95" s="45">
        <v>0</v>
      </c>
      <c r="E95" s="45">
        <v>0</v>
      </c>
      <c r="F95" s="45">
        <f t="shared" ref="F95:F98" si="29">E95/9</f>
        <v>0</v>
      </c>
      <c r="G95" s="45"/>
      <c r="H95" s="115">
        <v>0</v>
      </c>
      <c r="I95" s="115">
        <v>0</v>
      </c>
      <c r="J95" s="116">
        <f t="shared" si="28"/>
        <v>0</v>
      </c>
      <c r="K95" s="101"/>
    </row>
    <row r="96" spans="1:11" x14ac:dyDescent="0.25">
      <c r="A96" s="44" t="s">
        <v>353</v>
      </c>
      <c r="B96" s="44">
        <v>3</v>
      </c>
      <c r="C96" s="118">
        <v>5741.666666666667</v>
      </c>
      <c r="D96" s="45">
        <v>15000</v>
      </c>
      <c r="E96" s="45">
        <v>55516</v>
      </c>
      <c r="F96" s="45">
        <f t="shared" si="29"/>
        <v>6168.4444444444443</v>
      </c>
      <c r="G96" s="45"/>
      <c r="H96" s="115">
        <v>0</v>
      </c>
      <c r="I96" s="115">
        <v>36000</v>
      </c>
      <c r="J96" s="116">
        <f t="shared" si="28"/>
        <v>3000</v>
      </c>
      <c r="K96" s="101" t="s">
        <v>655</v>
      </c>
    </row>
    <row r="97" spans="1:11" hidden="1" x14ac:dyDescent="0.25">
      <c r="A97" s="44" t="s">
        <v>229</v>
      </c>
      <c r="B97" s="44">
        <v>3</v>
      </c>
      <c r="C97" s="118">
        <v>2500.3333333333335</v>
      </c>
      <c r="D97" s="45">
        <v>0</v>
      </c>
      <c r="E97" s="45">
        <v>0</v>
      </c>
      <c r="F97" s="45">
        <f t="shared" si="29"/>
        <v>0</v>
      </c>
      <c r="G97" s="45"/>
      <c r="H97" s="115">
        <v>0</v>
      </c>
      <c r="I97" s="115">
        <f>D97+H97</f>
        <v>0</v>
      </c>
      <c r="J97" s="116">
        <f t="shared" si="28"/>
        <v>0</v>
      </c>
      <c r="K97" s="101"/>
    </row>
    <row r="98" spans="1:11" hidden="1" x14ac:dyDescent="0.25">
      <c r="A98" s="44" t="s">
        <v>26</v>
      </c>
      <c r="B98" s="44">
        <v>3</v>
      </c>
      <c r="C98" s="118">
        <v>29993.693333333333</v>
      </c>
      <c r="D98" s="45">
        <v>0</v>
      </c>
      <c r="E98" s="45">
        <v>0</v>
      </c>
      <c r="F98" s="45">
        <f t="shared" si="29"/>
        <v>0</v>
      </c>
      <c r="G98" s="45"/>
      <c r="H98" s="115">
        <v>0</v>
      </c>
      <c r="I98" s="115">
        <v>0</v>
      </c>
      <c r="J98" s="116">
        <f t="shared" si="28"/>
        <v>0</v>
      </c>
      <c r="K98" s="101"/>
    </row>
    <row r="99" spans="1:11" x14ac:dyDescent="0.25">
      <c r="A99" s="44" t="s">
        <v>65</v>
      </c>
      <c r="B99" s="44">
        <v>3</v>
      </c>
      <c r="C99" s="119">
        <v>11811</v>
      </c>
      <c r="D99" s="52">
        <v>3000</v>
      </c>
      <c r="E99" s="52">
        <v>0</v>
      </c>
      <c r="F99" s="52">
        <f>E99/9</f>
        <v>0</v>
      </c>
      <c r="G99" s="52"/>
      <c r="H99" s="142">
        <f t="shared" ref="H99" si="30">SUM(H91:H98)</f>
        <v>0</v>
      </c>
      <c r="I99" s="142">
        <v>3000</v>
      </c>
      <c r="J99" s="120">
        <f t="shared" si="28"/>
        <v>250</v>
      </c>
      <c r="K99" s="101" t="s">
        <v>432</v>
      </c>
    </row>
    <row r="100" spans="1:11" ht="15.75" thickBot="1" x14ac:dyDescent="0.3">
      <c r="A100" s="75" t="s">
        <v>314</v>
      </c>
      <c r="B100" s="44"/>
      <c r="C100" s="45">
        <f>SUM(C94:C99)</f>
        <v>59690.026666666665</v>
      </c>
      <c r="D100" s="45">
        <f t="shared" ref="D100:E100" si="31">SUM(D94:D99)</f>
        <v>24000</v>
      </c>
      <c r="E100" s="45">
        <f t="shared" si="31"/>
        <v>60411</v>
      </c>
      <c r="F100" s="45">
        <f>SUM(F94:F99)</f>
        <v>6712.333333333333</v>
      </c>
      <c r="G100" s="45"/>
      <c r="H100" s="143">
        <f>SUM(H94:H99)</f>
        <v>0</v>
      </c>
      <c r="I100" s="97">
        <f t="shared" ref="I100:J100" si="32">SUM(I94:I99)</f>
        <v>39000</v>
      </c>
      <c r="J100" s="98">
        <f t="shared" si="32"/>
        <v>3250</v>
      </c>
      <c r="K100" s="101"/>
    </row>
    <row r="101" spans="1:11" x14ac:dyDescent="0.25">
      <c r="A101" s="44"/>
      <c r="B101" s="44"/>
      <c r="C101" s="44"/>
      <c r="D101" s="44"/>
      <c r="E101" s="44"/>
      <c r="F101" s="44"/>
      <c r="G101" s="44"/>
      <c r="H101" s="104"/>
      <c r="I101" s="104"/>
      <c r="J101" s="104"/>
      <c r="K101" s="104"/>
    </row>
    <row r="102" spans="1:11" x14ac:dyDescent="0.25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</row>
  </sheetData>
  <customSheetViews>
    <customSheetView guid="{D54A66AC-88E3-46FB-AFE3-2E559F565FEB}" scale="80" hiddenRows="1" hiddenColumns="1">
      <pane xSplit="2" ySplit="4" topLeftCell="D5" activePane="bottomRight" state="frozen"/>
      <selection pane="bottomRight" activeCell="L1" sqref="L1:P1048576"/>
      <pageMargins left="0.75" right="0.75" top="1" bottom="1" header="0.5" footer="0.5"/>
      <pageSetup scale="44" fitToHeight="2" orientation="portrait" r:id="rId1"/>
      <headerFooter alignWithMargins="0"/>
    </customSheetView>
  </customSheetViews>
  <pageMargins left="0.75" right="0.75" top="1" bottom="1" header="0.5" footer="0.5"/>
  <pageSetup scale="44" fitToHeight="2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0"/>
  <sheetViews>
    <sheetView zoomScale="90" zoomScaleNormal="90" workbookViewId="0">
      <pane xSplit="3" ySplit="4" topLeftCell="D5" activePane="bottomRight" state="frozen"/>
      <selection activeCell="A180" sqref="A180"/>
      <selection pane="topRight" activeCell="A180" sqref="A180"/>
      <selection pane="bottomLeft" activeCell="A180" sqref="A180"/>
      <selection pane="bottomRight" activeCell="L1" sqref="L1:N1048576"/>
    </sheetView>
  </sheetViews>
  <sheetFormatPr defaultRowHeight="15" x14ac:dyDescent="0.25"/>
  <cols>
    <col min="1" max="1" width="55.42578125" bestFit="1" customWidth="1"/>
    <col min="2" max="2" width="9.140625" hidden="1" customWidth="1"/>
    <col min="3" max="3" width="11.7109375" hidden="1" customWidth="1"/>
    <col min="4" max="4" width="15.42578125" bestFit="1" customWidth="1"/>
    <col min="5" max="5" width="14.28515625" bestFit="1" customWidth="1"/>
    <col min="6" max="6" width="12.140625" customWidth="1"/>
    <col min="7" max="7" width="3.42578125" customWidth="1"/>
    <col min="8" max="8" width="0" hidden="1" customWidth="1"/>
    <col min="9" max="9" width="22.7109375" customWidth="1"/>
    <col min="10" max="10" width="12.85546875" bestFit="1" customWidth="1"/>
    <col min="11" max="11" width="52.140625" customWidth="1"/>
    <col min="12" max="14" width="0" hidden="1" customWidth="1"/>
  </cols>
  <sheetData>
    <row r="1" spans="1:18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'Viking Sq'!I1</f>
        <v>Projected Annual Budget 2017</v>
      </c>
      <c r="J1" s="125"/>
      <c r="K1" s="152"/>
      <c r="L1" s="104"/>
      <c r="M1" s="104"/>
      <c r="N1" s="104"/>
      <c r="O1" s="104"/>
      <c r="P1" s="104"/>
      <c r="Q1" s="104"/>
      <c r="R1" s="104"/>
    </row>
    <row r="2" spans="1:18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1" t="s">
        <v>597</v>
      </c>
      <c r="L2" s="104"/>
      <c r="M2" s="104"/>
      <c r="N2" s="104"/>
      <c r="O2" s="104"/>
      <c r="P2" s="104"/>
      <c r="Q2" s="104"/>
      <c r="R2" s="104"/>
    </row>
    <row r="3" spans="1:18" ht="21" thickBot="1" x14ac:dyDescent="0.35">
      <c r="A3" s="99" t="s">
        <v>665</v>
      </c>
      <c r="B3" s="104"/>
      <c r="C3" s="104"/>
      <c r="D3" s="109"/>
      <c r="E3" s="104"/>
      <c r="F3" s="104"/>
      <c r="G3" s="104"/>
      <c r="H3" s="104"/>
      <c r="I3" s="111"/>
      <c r="J3" s="95"/>
      <c r="K3" s="101" t="s">
        <v>644</v>
      </c>
      <c r="L3" s="104"/>
      <c r="M3" s="104"/>
      <c r="N3" s="104"/>
      <c r="O3" s="104"/>
      <c r="P3" s="104"/>
      <c r="Q3" s="104"/>
      <c r="R3" s="104"/>
    </row>
    <row r="4" spans="1:18" s="29" customFormat="1" ht="45.75" thickBot="1" x14ac:dyDescent="0.3">
      <c r="A4" s="39" t="s">
        <v>71</v>
      </c>
      <c r="B4" s="39" t="s">
        <v>72</v>
      </c>
      <c r="C4" s="39" t="s">
        <v>73</v>
      </c>
      <c r="D4" s="40" t="str">
        <f>'Viking Sq'!D4</f>
        <v>2016 Annual Budget</v>
      </c>
      <c r="E4" s="40" t="str">
        <f>'Viking Sq'!E4</f>
        <v>YTD Actual FY 2016 @ 9/30/16</v>
      </c>
      <c r="F4" s="40" t="str">
        <f>'Viking Sq'!F4</f>
        <v>FY 2016 - 9 month Avg</v>
      </c>
      <c r="G4" s="104"/>
      <c r="H4" s="172"/>
      <c r="I4" s="132" t="s">
        <v>427</v>
      </c>
      <c r="J4" s="43" t="s">
        <v>428</v>
      </c>
      <c r="K4" s="133"/>
      <c r="L4" s="41"/>
      <c r="M4" s="41"/>
      <c r="N4" s="168"/>
      <c r="O4" s="168"/>
      <c r="P4" s="168"/>
      <c r="Q4" s="168"/>
      <c r="R4" s="168"/>
    </row>
    <row r="5" spans="1:18" x14ac:dyDescent="0.25">
      <c r="A5" s="44" t="s">
        <v>33</v>
      </c>
      <c r="B5" s="44">
        <v>3</v>
      </c>
      <c r="C5" s="118">
        <v>-529501.75</v>
      </c>
      <c r="D5" s="46">
        <v>51180</v>
      </c>
      <c r="E5" s="46">
        <v>39816</v>
      </c>
      <c r="F5" s="46">
        <f>E5/9</f>
        <v>4424</v>
      </c>
      <c r="G5" s="46"/>
      <c r="H5" s="57">
        <v>0</v>
      </c>
      <c r="I5" s="135">
        <v>53490</v>
      </c>
      <c r="J5" s="58">
        <f>I5/12</f>
        <v>4457.5</v>
      </c>
      <c r="K5" s="152"/>
      <c r="L5" s="104">
        <f t="shared" ref="L5:L12" si="0">SUM(E5)+(F5*3)*1.03</f>
        <v>53486.16</v>
      </c>
      <c r="M5" s="104"/>
      <c r="N5" s="109" t="s">
        <v>74</v>
      </c>
      <c r="O5" s="104"/>
      <c r="P5" s="104"/>
      <c r="Q5" s="104"/>
      <c r="R5" s="104"/>
    </row>
    <row r="6" spans="1:18" x14ac:dyDescent="0.25">
      <c r="A6" s="44" t="s">
        <v>34</v>
      </c>
      <c r="B6" s="44">
        <v>3</v>
      </c>
      <c r="C6" s="118">
        <f>26538.3-5333</f>
        <v>21205.3</v>
      </c>
      <c r="D6" s="46">
        <v>-1020</v>
      </c>
      <c r="E6" s="46">
        <v>-109</v>
      </c>
      <c r="F6" s="46">
        <f t="shared" ref="F6:F11" si="1">E6/9</f>
        <v>-12.111111111111111</v>
      </c>
      <c r="G6" s="46"/>
      <c r="H6" s="57">
        <f>D6*$N$7</f>
        <v>-30.599999999999998</v>
      </c>
      <c r="I6" s="135">
        <v>-1070</v>
      </c>
      <c r="J6" s="58">
        <f t="shared" ref="J6:J12" si="2">I6/12</f>
        <v>-89.166666666666671</v>
      </c>
      <c r="K6" s="104" t="s">
        <v>567</v>
      </c>
      <c r="L6" s="104">
        <f>I5*2%</f>
        <v>1069.8</v>
      </c>
      <c r="M6" s="104"/>
      <c r="N6" s="109" t="s">
        <v>392</v>
      </c>
      <c r="O6" s="104"/>
      <c r="P6" s="104"/>
      <c r="Q6" s="104"/>
      <c r="R6" s="104"/>
    </row>
    <row r="7" spans="1:18" x14ac:dyDescent="0.25">
      <c r="A7" s="44" t="s">
        <v>35</v>
      </c>
      <c r="B7" s="44">
        <v>3</v>
      </c>
      <c r="C7" s="118">
        <f>-36-1275</f>
        <v>-1311</v>
      </c>
      <c r="D7" s="46">
        <v>20</v>
      </c>
      <c r="E7" s="46">
        <v>0</v>
      </c>
      <c r="F7" s="46">
        <f t="shared" si="1"/>
        <v>0</v>
      </c>
      <c r="G7" s="46"/>
      <c r="H7" s="57">
        <f>D7*$N$7</f>
        <v>0.6</v>
      </c>
      <c r="I7" s="135">
        <v>0</v>
      </c>
      <c r="J7" s="58">
        <f t="shared" si="2"/>
        <v>0</v>
      </c>
      <c r="K7" s="104"/>
      <c r="L7" s="104">
        <f t="shared" si="0"/>
        <v>0</v>
      </c>
      <c r="M7" s="104"/>
      <c r="N7" s="152">
        <v>0.03</v>
      </c>
      <c r="O7" s="104"/>
      <c r="P7" s="104"/>
      <c r="Q7" s="104"/>
      <c r="R7" s="104"/>
    </row>
    <row r="8" spans="1:18" x14ac:dyDescent="0.25">
      <c r="A8" s="44" t="s">
        <v>37</v>
      </c>
      <c r="B8" s="44">
        <v>3</v>
      </c>
      <c r="C8" s="118">
        <v>-233</v>
      </c>
      <c r="D8" s="46">
        <v>60</v>
      </c>
      <c r="E8" s="46">
        <v>61</v>
      </c>
      <c r="F8" s="46">
        <f t="shared" si="1"/>
        <v>6.7777777777777777</v>
      </c>
      <c r="G8" s="46"/>
      <c r="H8" s="57">
        <f>D8*$N$7</f>
        <v>1.7999999999999998</v>
      </c>
      <c r="I8" s="135">
        <v>310</v>
      </c>
      <c r="J8" s="58">
        <f t="shared" si="2"/>
        <v>25.833333333333332</v>
      </c>
      <c r="K8" s="104"/>
      <c r="L8" s="104">
        <f t="shared" si="0"/>
        <v>81.943333333333328</v>
      </c>
      <c r="M8" s="104"/>
      <c r="N8" s="104"/>
      <c r="O8" s="104"/>
      <c r="P8" s="104"/>
      <c r="Q8" s="104"/>
      <c r="R8" s="104"/>
    </row>
    <row r="9" spans="1:18" x14ac:dyDescent="0.25">
      <c r="A9" s="44" t="s">
        <v>455</v>
      </c>
      <c r="B9" s="44"/>
      <c r="C9" s="118"/>
      <c r="D9" s="46">
        <v>0</v>
      </c>
      <c r="E9" s="46">
        <v>0</v>
      </c>
      <c r="F9" s="46">
        <f t="shared" si="1"/>
        <v>0</v>
      </c>
      <c r="G9" s="46"/>
      <c r="H9" s="57"/>
      <c r="I9" s="135">
        <v>0</v>
      </c>
      <c r="J9" s="58">
        <f t="shared" si="2"/>
        <v>0</v>
      </c>
      <c r="K9" s="104"/>
      <c r="L9" s="104">
        <f t="shared" si="0"/>
        <v>0</v>
      </c>
      <c r="M9" s="104"/>
      <c r="N9" s="104"/>
      <c r="O9" s="104"/>
      <c r="P9" s="104"/>
      <c r="Q9" s="104"/>
      <c r="R9" s="104"/>
    </row>
    <row r="10" spans="1:18" x14ac:dyDescent="0.25">
      <c r="A10" s="44" t="s">
        <v>295</v>
      </c>
      <c r="B10" s="44"/>
      <c r="C10" s="118"/>
      <c r="D10" s="46">
        <v>0</v>
      </c>
      <c r="E10" s="46">
        <v>0</v>
      </c>
      <c r="F10" s="46">
        <f t="shared" si="1"/>
        <v>0</v>
      </c>
      <c r="G10" s="46"/>
      <c r="H10" s="57"/>
      <c r="I10" s="135">
        <v>0</v>
      </c>
      <c r="J10" s="58">
        <f t="shared" si="2"/>
        <v>0</v>
      </c>
      <c r="K10" s="104"/>
      <c r="L10" s="104">
        <f t="shared" si="0"/>
        <v>0</v>
      </c>
      <c r="M10" s="104"/>
      <c r="N10" s="104"/>
      <c r="O10" s="104"/>
      <c r="P10" s="104"/>
      <c r="Q10" s="104"/>
      <c r="R10" s="104"/>
    </row>
    <row r="11" spans="1:18" x14ac:dyDescent="0.25">
      <c r="A11" s="44" t="s">
        <v>357</v>
      </c>
      <c r="B11" s="44"/>
      <c r="C11" s="118"/>
      <c r="D11" s="46">
        <v>0</v>
      </c>
      <c r="E11" s="46">
        <v>0</v>
      </c>
      <c r="F11" s="46">
        <f t="shared" si="1"/>
        <v>0</v>
      </c>
      <c r="G11" s="46"/>
      <c r="H11" s="57"/>
      <c r="I11" s="135">
        <v>0</v>
      </c>
      <c r="J11" s="58">
        <f t="shared" si="2"/>
        <v>0</v>
      </c>
      <c r="K11" s="104"/>
      <c r="L11" s="104">
        <f t="shared" si="0"/>
        <v>0</v>
      </c>
      <c r="M11" s="104"/>
      <c r="N11" s="104"/>
      <c r="O11" s="104"/>
      <c r="P11" s="104"/>
      <c r="Q11" s="104"/>
      <c r="R11" s="104"/>
    </row>
    <row r="12" spans="1:18" x14ac:dyDescent="0.25">
      <c r="A12" s="44" t="s">
        <v>284</v>
      </c>
      <c r="B12" s="44">
        <v>3</v>
      </c>
      <c r="C12" s="119">
        <f>-8292+2029</f>
        <v>-6263</v>
      </c>
      <c r="D12" s="53">
        <v>100</v>
      </c>
      <c r="E12" s="53">
        <v>49</v>
      </c>
      <c r="F12" s="53">
        <f>E12/9</f>
        <v>5.4444444444444446</v>
      </c>
      <c r="G12" s="53"/>
      <c r="H12" s="137">
        <f>D12*$N$7</f>
        <v>3</v>
      </c>
      <c r="I12" s="138">
        <v>70</v>
      </c>
      <c r="J12" s="139">
        <f t="shared" si="2"/>
        <v>5.833333333333333</v>
      </c>
      <c r="K12" s="104"/>
      <c r="L12" s="104">
        <f t="shared" si="0"/>
        <v>65.823333333333338</v>
      </c>
      <c r="M12" s="104"/>
      <c r="N12" s="104"/>
      <c r="O12" s="104"/>
      <c r="P12" s="104"/>
      <c r="Q12" s="104"/>
      <c r="R12" s="104"/>
    </row>
    <row r="13" spans="1:18" x14ac:dyDescent="0.25">
      <c r="A13" s="75" t="s">
        <v>75</v>
      </c>
      <c r="B13" s="44"/>
      <c r="C13" s="45">
        <f>SUM(C4:C12)</f>
        <v>-516103.45</v>
      </c>
      <c r="D13" s="46">
        <f>SUM(D4:D12)</f>
        <v>50340</v>
      </c>
      <c r="E13" s="46">
        <f>SUM(E5:E12)</f>
        <v>39817</v>
      </c>
      <c r="F13" s="46">
        <f>SUM(F5:F12)</f>
        <v>4424.1111111111104</v>
      </c>
      <c r="G13" s="46"/>
      <c r="H13" s="57">
        <f>SUM(H4:H12)</f>
        <v>-25.199999999999996</v>
      </c>
      <c r="I13" s="57">
        <f>SUM(I4:I12)</f>
        <v>52800</v>
      </c>
      <c r="J13" s="58">
        <f>SUM(J4:J12)</f>
        <v>4399.9999999999991</v>
      </c>
      <c r="K13" s="104"/>
      <c r="L13" s="104"/>
      <c r="M13" s="104"/>
      <c r="N13" s="104"/>
      <c r="O13" s="104"/>
      <c r="P13" s="104"/>
      <c r="Q13" s="104"/>
      <c r="R13" s="104"/>
    </row>
    <row r="14" spans="1:18" x14ac:dyDescent="0.25">
      <c r="A14" s="44"/>
      <c r="B14" s="44"/>
      <c r="C14" s="45"/>
      <c r="D14" s="46"/>
      <c r="E14" s="46"/>
      <c r="F14" s="46"/>
      <c r="G14" s="46"/>
      <c r="H14" s="57"/>
      <c r="I14" s="57"/>
      <c r="J14" s="58"/>
      <c r="K14" s="104"/>
      <c r="L14" s="104"/>
      <c r="M14" s="104"/>
      <c r="N14" s="104"/>
      <c r="O14" s="104"/>
      <c r="P14" s="104"/>
      <c r="Q14" s="104"/>
      <c r="R14" s="104"/>
    </row>
    <row r="15" spans="1:18" x14ac:dyDescent="0.25">
      <c r="A15" s="44" t="s">
        <v>76</v>
      </c>
      <c r="B15" s="44"/>
      <c r="C15" s="45">
        <f>C43</f>
        <v>378192.97</v>
      </c>
      <c r="D15" s="46">
        <f>-D43</f>
        <v>-4690</v>
      </c>
      <c r="E15" s="46">
        <f>-E43</f>
        <v>-2234</v>
      </c>
      <c r="F15" s="46">
        <f>E15/9*12</f>
        <v>-2978.666666666667</v>
      </c>
      <c r="G15" s="46"/>
      <c r="H15" s="57" t="e">
        <f>H43</f>
        <v>#REF!</v>
      </c>
      <c r="I15" s="57">
        <f>-I43</f>
        <v>-3980</v>
      </c>
      <c r="J15" s="58">
        <f>-J43</f>
        <v>-323.33333333333337</v>
      </c>
      <c r="K15" s="104"/>
      <c r="L15" s="104"/>
      <c r="M15" s="104"/>
      <c r="N15" s="104"/>
      <c r="O15" s="104"/>
      <c r="P15" s="104"/>
      <c r="Q15" s="104"/>
      <c r="R15" s="104"/>
    </row>
    <row r="16" spans="1:18" x14ac:dyDescent="0.25">
      <c r="A16" s="44" t="s">
        <v>83</v>
      </c>
      <c r="B16" s="44"/>
      <c r="C16" s="45">
        <f>C50</f>
        <v>132359.13</v>
      </c>
      <c r="D16" s="46">
        <f>-D50</f>
        <v>-4710</v>
      </c>
      <c r="E16" s="46">
        <f>-E50</f>
        <v>-1937</v>
      </c>
      <c r="F16" s="46">
        <f t="shared" ref="F16:F20" si="3">E16/9*12</f>
        <v>-2582.666666666667</v>
      </c>
      <c r="G16" s="46"/>
      <c r="H16" s="57">
        <f>H50</f>
        <v>0</v>
      </c>
      <c r="I16" s="57">
        <f>-I50</f>
        <v>-2630</v>
      </c>
      <c r="J16" s="58">
        <f>-J50</f>
        <v>-219.16666666666666</v>
      </c>
      <c r="K16" s="101"/>
      <c r="L16" s="104"/>
      <c r="M16" s="104"/>
      <c r="N16" s="104"/>
      <c r="O16" s="104"/>
      <c r="P16" s="104"/>
      <c r="Q16" s="104"/>
      <c r="R16" s="104"/>
    </row>
    <row r="17" spans="1:18" x14ac:dyDescent="0.25">
      <c r="A17" s="44" t="s">
        <v>88</v>
      </c>
      <c r="B17" s="44"/>
      <c r="C17" s="45">
        <f>C66</f>
        <v>259764.18</v>
      </c>
      <c r="D17" s="46">
        <f>-D66</f>
        <v>-17690</v>
      </c>
      <c r="E17" s="46">
        <f>-E66</f>
        <v>-13152</v>
      </c>
      <c r="F17" s="46">
        <f t="shared" si="3"/>
        <v>-17536</v>
      </c>
      <c r="G17" s="46"/>
      <c r="H17" s="173">
        <f>H66</f>
        <v>378.59999999999997</v>
      </c>
      <c r="I17" s="57">
        <f>-I66</f>
        <v>-23650</v>
      </c>
      <c r="J17" s="58">
        <f>-J66</f>
        <v>-1970.8333333333333</v>
      </c>
      <c r="K17" s="104"/>
      <c r="L17" s="104"/>
      <c r="M17" s="104"/>
      <c r="N17" s="104"/>
      <c r="O17" s="104"/>
      <c r="P17" s="104"/>
      <c r="Q17" s="104"/>
      <c r="R17" s="104"/>
    </row>
    <row r="18" spans="1:18" x14ac:dyDescent="0.25">
      <c r="A18" s="44" t="s">
        <v>77</v>
      </c>
      <c r="B18" s="44"/>
      <c r="C18" s="45">
        <f>C76</f>
        <v>269623.20999999996</v>
      </c>
      <c r="D18" s="46">
        <f>-D76</f>
        <v>-10230</v>
      </c>
      <c r="E18" s="46">
        <f>-E76</f>
        <v>-9247</v>
      </c>
      <c r="F18" s="46">
        <f t="shared" si="3"/>
        <v>-12329.333333333332</v>
      </c>
      <c r="G18" s="46"/>
      <c r="H18" s="57" t="e">
        <f>H76</f>
        <v>#REF!</v>
      </c>
      <c r="I18" s="57">
        <f>-I76</f>
        <v>-12510</v>
      </c>
      <c r="J18" s="58">
        <f>-J76</f>
        <v>-1042.5</v>
      </c>
      <c r="K18" s="101"/>
      <c r="L18" s="104"/>
      <c r="M18" s="104"/>
      <c r="N18" s="104"/>
      <c r="O18" s="104"/>
      <c r="P18" s="104"/>
      <c r="Q18" s="104"/>
      <c r="R18" s="104"/>
    </row>
    <row r="19" spans="1:18" x14ac:dyDescent="0.25">
      <c r="A19" s="44" t="s">
        <v>296</v>
      </c>
      <c r="B19" s="44"/>
      <c r="C19" s="45">
        <f>C81</f>
        <v>452336.52</v>
      </c>
      <c r="D19" s="46">
        <f>-D81</f>
        <v>-27420</v>
      </c>
      <c r="E19" s="46">
        <f>-E81</f>
        <v>-22850</v>
      </c>
      <c r="F19" s="46">
        <f t="shared" si="3"/>
        <v>-30466.666666666664</v>
      </c>
      <c r="G19" s="46"/>
      <c r="H19" s="57">
        <f>H81</f>
        <v>0</v>
      </c>
      <c r="I19" s="57">
        <f>-I81</f>
        <v>-27420</v>
      </c>
      <c r="J19" s="58">
        <f>-J81</f>
        <v>-2285</v>
      </c>
      <c r="K19" s="101"/>
      <c r="L19" s="104"/>
      <c r="M19" s="104"/>
      <c r="N19" s="104"/>
      <c r="O19" s="104"/>
      <c r="P19" s="104"/>
      <c r="Q19" s="104"/>
      <c r="R19" s="104"/>
    </row>
    <row r="20" spans="1:18" x14ac:dyDescent="0.25">
      <c r="A20" s="44" t="s">
        <v>78</v>
      </c>
      <c r="B20" s="44"/>
      <c r="C20" s="45">
        <f>C85</f>
        <v>35806.879999999997</v>
      </c>
      <c r="D20" s="46">
        <f>-D85</f>
        <v>-1800</v>
      </c>
      <c r="E20" s="46">
        <f>-E85</f>
        <v>-1500</v>
      </c>
      <c r="F20" s="46">
        <f t="shared" si="3"/>
        <v>-2000</v>
      </c>
      <c r="G20" s="46"/>
      <c r="H20" s="57">
        <f>H85</f>
        <v>0</v>
      </c>
      <c r="I20" s="57">
        <f>-I85</f>
        <v>-1800</v>
      </c>
      <c r="J20" s="58">
        <f>-J85</f>
        <v>-150</v>
      </c>
      <c r="K20" s="106"/>
      <c r="L20" s="162"/>
      <c r="M20" s="104"/>
      <c r="N20" s="104"/>
      <c r="O20" s="104"/>
      <c r="P20" s="104"/>
      <c r="Q20" s="104"/>
      <c r="R20" s="104"/>
    </row>
    <row r="21" spans="1:18" x14ac:dyDescent="0.25">
      <c r="A21" s="44" t="s">
        <v>79</v>
      </c>
      <c r="B21" s="44"/>
      <c r="C21" s="52">
        <f>C98</f>
        <v>56347.270000000004</v>
      </c>
      <c r="D21" s="53">
        <f>-D98</f>
        <v>-2500</v>
      </c>
      <c r="E21" s="53">
        <f>-E98</f>
        <v>0</v>
      </c>
      <c r="F21" s="53">
        <f>E21/9*12</f>
        <v>0</v>
      </c>
      <c r="G21" s="53"/>
      <c r="H21" s="137">
        <f>H98</f>
        <v>0</v>
      </c>
      <c r="I21" s="137">
        <f>-I98</f>
        <v>-5500</v>
      </c>
      <c r="J21" s="139">
        <f>-J98</f>
        <v>-458.33333333333331</v>
      </c>
      <c r="K21" s="106"/>
      <c r="L21" s="104"/>
      <c r="M21" s="104"/>
      <c r="N21" s="104"/>
      <c r="O21" s="104"/>
      <c r="P21" s="104"/>
      <c r="Q21" s="104"/>
      <c r="R21" s="104"/>
    </row>
    <row r="22" spans="1:18" x14ac:dyDescent="0.25">
      <c r="A22" s="44" t="s">
        <v>80</v>
      </c>
      <c r="B22" s="44"/>
      <c r="C22" s="140">
        <f>SUM(C15:C21)</f>
        <v>1584430.16</v>
      </c>
      <c r="D22" s="141">
        <f t="shared" ref="D22:F22" si="4">SUM(D15:D21)</f>
        <v>-69040</v>
      </c>
      <c r="E22" s="141">
        <f t="shared" si="4"/>
        <v>-50920</v>
      </c>
      <c r="F22" s="141">
        <f t="shared" si="4"/>
        <v>-67893.333333333343</v>
      </c>
      <c r="G22" s="53"/>
      <c r="H22" s="137" t="e">
        <f>SUM(H15:H21)</f>
        <v>#REF!</v>
      </c>
      <c r="I22" s="163">
        <f t="shared" ref="I22:J22" si="5">SUM(I15:I21)</f>
        <v>-77490</v>
      </c>
      <c r="J22" s="164">
        <f t="shared" si="5"/>
        <v>-6449.1666666666661</v>
      </c>
      <c r="K22" s="106"/>
      <c r="L22" s="104"/>
      <c r="M22" s="104"/>
      <c r="N22" s="104"/>
      <c r="O22" s="104"/>
      <c r="P22" s="104"/>
      <c r="Q22" s="104"/>
      <c r="R22" s="104"/>
    </row>
    <row r="23" spans="1:18" x14ac:dyDescent="0.25">
      <c r="A23" s="44"/>
      <c r="B23" s="44"/>
      <c r="C23" s="45"/>
      <c r="D23" s="46"/>
      <c r="E23" s="46"/>
      <c r="F23" s="46"/>
      <c r="G23" s="46"/>
      <c r="H23" s="57"/>
      <c r="I23" s="57"/>
      <c r="J23" s="58"/>
      <c r="K23" s="106"/>
      <c r="L23" s="104"/>
      <c r="M23" s="104"/>
      <c r="N23" s="104"/>
      <c r="O23" s="104"/>
      <c r="P23" s="104"/>
      <c r="Q23" s="104"/>
      <c r="R23" s="104"/>
    </row>
    <row r="24" spans="1:18" ht="15.75" thickBot="1" x14ac:dyDescent="0.3">
      <c r="A24" s="121" t="s">
        <v>550</v>
      </c>
      <c r="B24" s="122"/>
      <c r="C24" s="123">
        <f>SUM(-C13-C22)</f>
        <v>-1068326.71</v>
      </c>
      <c r="D24" s="72">
        <f>SUM(D13+D22)+D75</f>
        <v>-8980</v>
      </c>
      <c r="E24" s="72">
        <f>SUM(E13+E22)+E75</f>
        <v>-3699</v>
      </c>
      <c r="F24" s="72">
        <f>SUM(F13+F22)+F75</f>
        <v>-62646.555555555569</v>
      </c>
      <c r="G24" s="72"/>
      <c r="H24" s="73" t="e">
        <f>SUM(H13+H22)-H77</f>
        <v>#REF!</v>
      </c>
      <c r="I24" s="73">
        <f>SUM(I13+I22)+I75</f>
        <v>-14820</v>
      </c>
      <c r="J24" s="74">
        <f>SUM(J13+J22)+J75</f>
        <v>-1226.666666666667</v>
      </c>
      <c r="K24" s="106"/>
      <c r="L24" s="104"/>
      <c r="M24" s="104"/>
      <c r="N24" s="104"/>
      <c r="O24" s="104"/>
      <c r="P24" s="104"/>
      <c r="Q24" s="104"/>
      <c r="R24" s="104"/>
    </row>
    <row r="25" spans="1:18" x14ac:dyDescent="0.25">
      <c r="A25" s="75" t="s">
        <v>449</v>
      </c>
      <c r="B25" s="44"/>
      <c r="C25" s="45"/>
      <c r="D25" s="46"/>
      <c r="E25" s="46"/>
      <c r="F25" s="46"/>
      <c r="G25" s="46"/>
      <c r="H25" s="57"/>
      <c r="I25" s="57"/>
      <c r="J25" s="58"/>
      <c r="K25" s="106"/>
      <c r="L25" s="104"/>
      <c r="M25" s="104"/>
      <c r="N25" s="104"/>
      <c r="O25" s="104"/>
      <c r="P25" s="104"/>
      <c r="Q25" s="104"/>
      <c r="R25" s="104"/>
    </row>
    <row r="26" spans="1:18" x14ac:dyDescent="0.25">
      <c r="A26" s="44" t="s">
        <v>38</v>
      </c>
      <c r="B26" s="63">
        <v>3</v>
      </c>
      <c r="C26" s="45">
        <f>SUM('[2]2014'!C9:E9)+18</f>
        <v>-29524.57</v>
      </c>
      <c r="D26" s="45">
        <v>0</v>
      </c>
      <c r="E26" s="45">
        <v>0</v>
      </c>
      <c r="F26" s="45">
        <f>E26/9</f>
        <v>0</v>
      </c>
      <c r="G26" s="45"/>
      <c r="H26" s="115">
        <v>0</v>
      </c>
      <c r="I26" s="115">
        <v>0</v>
      </c>
      <c r="J26" s="116">
        <f t="shared" ref="J26:J89" si="6">I26/12</f>
        <v>0</v>
      </c>
      <c r="K26" s="106"/>
      <c r="L26" s="104"/>
      <c r="M26" s="104"/>
      <c r="N26" s="104"/>
      <c r="O26" s="104"/>
      <c r="P26" s="104"/>
      <c r="Q26" s="104"/>
      <c r="R26" s="104"/>
    </row>
    <row r="27" spans="1:18" x14ac:dyDescent="0.25">
      <c r="A27" s="44" t="s">
        <v>39</v>
      </c>
      <c r="B27" s="44">
        <v>3</v>
      </c>
      <c r="C27" s="118">
        <f>60000+51523</f>
        <v>111523</v>
      </c>
      <c r="D27" s="45">
        <v>0</v>
      </c>
      <c r="E27" s="45">
        <v>0</v>
      </c>
      <c r="F27" s="45">
        <f t="shared" ref="F27:F41" si="7">E27/9</f>
        <v>0</v>
      </c>
      <c r="G27" s="45"/>
      <c r="H27" s="57">
        <f>D27*$N$7</f>
        <v>0</v>
      </c>
      <c r="I27" s="57">
        <v>0</v>
      </c>
      <c r="J27" s="58">
        <f t="shared" si="6"/>
        <v>0</v>
      </c>
      <c r="K27" s="104"/>
      <c r="L27" s="104"/>
      <c r="M27" s="104"/>
      <c r="N27" s="104"/>
      <c r="O27" s="104"/>
      <c r="P27" s="104"/>
      <c r="Q27" s="104"/>
      <c r="R27" s="104"/>
    </row>
    <row r="28" spans="1:18" x14ac:dyDescent="0.25">
      <c r="A28" s="44" t="s">
        <v>40</v>
      </c>
      <c r="B28" s="44">
        <v>3</v>
      </c>
      <c r="C28" s="118">
        <f>10588.22-103</f>
        <v>10485.219999999999</v>
      </c>
      <c r="D28" s="45">
        <v>0</v>
      </c>
      <c r="E28" s="45">
        <v>0</v>
      </c>
      <c r="F28" s="45">
        <f t="shared" si="7"/>
        <v>0</v>
      </c>
      <c r="G28" s="45"/>
      <c r="H28" s="115">
        <f>D28*$N$7</f>
        <v>0</v>
      </c>
      <c r="I28" s="115">
        <v>0</v>
      </c>
      <c r="J28" s="116">
        <f t="shared" si="6"/>
        <v>0</v>
      </c>
      <c r="K28" s="104"/>
      <c r="L28" s="104"/>
      <c r="M28" s="104"/>
      <c r="N28" s="104"/>
      <c r="O28" s="104"/>
      <c r="P28" s="104"/>
      <c r="Q28" s="104"/>
      <c r="R28" s="104"/>
    </row>
    <row r="29" spans="1:18" x14ac:dyDescent="0.25">
      <c r="A29" s="44" t="s">
        <v>41</v>
      </c>
      <c r="B29" s="44">
        <v>3</v>
      </c>
      <c r="C29" s="118">
        <f>6773-1</f>
        <v>6772</v>
      </c>
      <c r="D29" s="45">
        <v>40</v>
      </c>
      <c r="E29" s="45">
        <v>56</v>
      </c>
      <c r="F29" s="45">
        <f t="shared" si="7"/>
        <v>6.2222222222222223</v>
      </c>
      <c r="G29" s="45"/>
      <c r="H29" s="115" t="e">
        <f>D29*#REF!</f>
        <v>#REF!</v>
      </c>
      <c r="I29" s="57">
        <v>70</v>
      </c>
      <c r="J29" s="116">
        <f>I29/12</f>
        <v>5.833333333333333</v>
      </c>
      <c r="K29" s="104"/>
      <c r="L29" s="104">
        <f t="shared" ref="L29" si="8">SUM(E29)+(F29*3)*1.03</f>
        <v>75.226666666666674</v>
      </c>
      <c r="M29" s="104"/>
      <c r="N29" s="104"/>
      <c r="O29" s="104"/>
      <c r="P29" s="104"/>
      <c r="Q29" s="104"/>
      <c r="R29" s="104"/>
    </row>
    <row r="30" spans="1:18" x14ac:dyDescent="0.25">
      <c r="A30" s="44" t="s">
        <v>317</v>
      </c>
      <c r="B30" s="44">
        <v>3</v>
      </c>
      <c r="C30" s="118">
        <v>815</v>
      </c>
      <c r="D30" s="45">
        <v>30</v>
      </c>
      <c r="E30" s="45">
        <v>0</v>
      </c>
      <c r="F30" s="45">
        <f t="shared" si="7"/>
        <v>0</v>
      </c>
      <c r="G30" s="45"/>
      <c r="H30" s="115">
        <f>D30*$N$7</f>
        <v>0.89999999999999991</v>
      </c>
      <c r="I30" s="115">
        <v>30</v>
      </c>
      <c r="J30" s="116">
        <f t="shared" si="6"/>
        <v>2.5</v>
      </c>
      <c r="K30" s="104"/>
      <c r="L30" s="104"/>
      <c r="M30" s="104"/>
      <c r="N30" s="104"/>
      <c r="O30" s="104"/>
      <c r="P30" s="104"/>
      <c r="Q30" s="104"/>
      <c r="R30" s="104"/>
    </row>
    <row r="31" spans="1:18" x14ac:dyDescent="0.25">
      <c r="A31" s="44" t="s">
        <v>327</v>
      </c>
      <c r="B31" s="44">
        <v>3</v>
      </c>
      <c r="C31" s="118">
        <v>87</v>
      </c>
      <c r="D31" s="45">
        <v>100</v>
      </c>
      <c r="E31" s="45">
        <v>0</v>
      </c>
      <c r="F31" s="45">
        <f t="shared" si="7"/>
        <v>0</v>
      </c>
      <c r="G31" s="45"/>
      <c r="H31" s="115">
        <f>D31*$N$7</f>
        <v>3</v>
      </c>
      <c r="I31" s="57">
        <v>0</v>
      </c>
      <c r="J31" s="116">
        <f t="shared" si="6"/>
        <v>0</v>
      </c>
      <c r="K31" s="104"/>
      <c r="L31" s="104"/>
      <c r="M31" s="104"/>
      <c r="N31" s="104"/>
      <c r="O31" s="104"/>
      <c r="P31" s="104"/>
      <c r="Q31" s="104"/>
      <c r="R31" s="104"/>
    </row>
    <row r="32" spans="1:18" x14ac:dyDescent="0.25">
      <c r="A32" s="44" t="s">
        <v>269</v>
      </c>
      <c r="B32" s="44">
        <v>3</v>
      </c>
      <c r="C32" s="118">
        <f>71690.25+3053</f>
        <v>74743.25</v>
      </c>
      <c r="D32" s="45">
        <v>2520</v>
      </c>
      <c r="E32" s="45">
        <v>1991</v>
      </c>
      <c r="F32" s="45">
        <f t="shared" si="7"/>
        <v>221.22222222222223</v>
      </c>
      <c r="G32" s="45"/>
      <c r="H32" s="115" t="e">
        <f>D32*#REF!</f>
        <v>#REF!</v>
      </c>
      <c r="I32" s="115">
        <v>2640</v>
      </c>
      <c r="J32" s="116">
        <f t="shared" si="6"/>
        <v>220</v>
      </c>
      <c r="K32" s="104" t="s">
        <v>566</v>
      </c>
      <c r="L32" s="104">
        <f>I13*5%</f>
        <v>2640</v>
      </c>
      <c r="M32" s="104"/>
      <c r="N32" s="104"/>
      <c r="O32" s="104"/>
      <c r="P32" s="104"/>
      <c r="Q32" s="104"/>
      <c r="R32" s="104"/>
    </row>
    <row r="33" spans="1:18" x14ac:dyDescent="0.25">
      <c r="A33" s="44" t="s">
        <v>359</v>
      </c>
      <c r="B33" s="44"/>
      <c r="C33" s="118"/>
      <c r="D33" s="45">
        <v>0</v>
      </c>
      <c r="E33" s="45">
        <v>0</v>
      </c>
      <c r="F33" s="45">
        <f t="shared" si="7"/>
        <v>0</v>
      </c>
      <c r="G33" s="45"/>
      <c r="H33" s="115"/>
      <c r="I33" s="57">
        <v>0</v>
      </c>
      <c r="J33" s="116">
        <f t="shared" si="6"/>
        <v>0</v>
      </c>
      <c r="K33" s="104"/>
      <c r="L33" s="104"/>
      <c r="M33" s="104"/>
      <c r="N33" s="104"/>
      <c r="O33" s="104"/>
      <c r="P33" s="104"/>
      <c r="Q33" s="104"/>
      <c r="R33" s="104"/>
    </row>
    <row r="34" spans="1:18" x14ac:dyDescent="0.25">
      <c r="A34" s="44" t="s">
        <v>299</v>
      </c>
      <c r="B34" s="44">
        <v>3</v>
      </c>
      <c r="C34" s="118">
        <f>86765.11+45177</f>
        <v>131942.10999999999</v>
      </c>
      <c r="D34" s="45">
        <v>0</v>
      </c>
      <c r="E34" s="45">
        <v>0</v>
      </c>
      <c r="F34" s="45">
        <f t="shared" si="7"/>
        <v>0</v>
      </c>
      <c r="G34" s="45"/>
      <c r="H34" s="115">
        <f t="shared" ref="H34:H42" si="9">D34*$N$7</f>
        <v>0</v>
      </c>
      <c r="I34" s="115">
        <v>0</v>
      </c>
      <c r="J34" s="116">
        <f t="shared" si="6"/>
        <v>0</v>
      </c>
      <c r="K34" s="104"/>
      <c r="L34" s="104"/>
      <c r="M34" s="104"/>
      <c r="N34" s="104"/>
      <c r="O34" s="104"/>
      <c r="P34" s="104"/>
      <c r="Q34" s="104"/>
      <c r="R34" s="104"/>
    </row>
    <row r="35" spans="1:18" x14ac:dyDescent="0.25">
      <c r="A35" s="44" t="s">
        <v>244</v>
      </c>
      <c r="B35" s="44"/>
      <c r="C35" s="118"/>
      <c r="D35" s="45">
        <v>100</v>
      </c>
      <c r="E35" s="45">
        <v>0</v>
      </c>
      <c r="F35" s="45">
        <f t="shared" si="7"/>
        <v>0</v>
      </c>
      <c r="G35" s="45"/>
      <c r="H35" s="115">
        <v>0</v>
      </c>
      <c r="I35" s="57">
        <v>100</v>
      </c>
      <c r="J35" s="116">
        <v>0</v>
      </c>
      <c r="K35" s="104"/>
      <c r="L35" s="104"/>
      <c r="M35" s="104"/>
      <c r="N35" s="104"/>
      <c r="O35" s="104"/>
      <c r="P35" s="104"/>
      <c r="Q35" s="104"/>
      <c r="R35" s="104"/>
    </row>
    <row r="36" spans="1:18" x14ac:dyDescent="0.25">
      <c r="A36" s="44" t="s">
        <v>360</v>
      </c>
      <c r="B36" s="44">
        <v>3</v>
      </c>
      <c r="C36" s="118">
        <f>4247.25-1013</f>
        <v>3234.25</v>
      </c>
      <c r="D36" s="45">
        <v>690</v>
      </c>
      <c r="E36" s="45">
        <v>0</v>
      </c>
      <c r="F36" s="45">
        <f t="shared" si="7"/>
        <v>0</v>
      </c>
      <c r="G36" s="45"/>
      <c r="H36" s="115">
        <f t="shared" si="9"/>
        <v>20.7</v>
      </c>
      <c r="I36" s="115">
        <v>690</v>
      </c>
      <c r="J36" s="116">
        <f t="shared" si="6"/>
        <v>57.5</v>
      </c>
      <c r="K36" s="104"/>
      <c r="L36" s="104"/>
      <c r="M36" s="104"/>
      <c r="N36" s="104"/>
      <c r="O36" s="104"/>
      <c r="P36" s="104"/>
      <c r="Q36" s="104"/>
      <c r="R36" s="104"/>
    </row>
    <row r="37" spans="1:18" x14ac:dyDescent="0.25">
      <c r="A37" s="44" t="s">
        <v>372</v>
      </c>
      <c r="B37" s="44">
        <v>3</v>
      </c>
      <c r="C37" s="118">
        <f>13284.5+667</f>
        <v>13951.5</v>
      </c>
      <c r="D37" s="45">
        <v>100</v>
      </c>
      <c r="E37" s="45">
        <v>0</v>
      </c>
      <c r="F37" s="45">
        <f t="shared" si="7"/>
        <v>0</v>
      </c>
      <c r="G37" s="45"/>
      <c r="H37" s="115">
        <f t="shared" si="9"/>
        <v>3</v>
      </c>
      <c r="I37" s="57">
        <v>100</v>
      </c>
      <c r="J37" s="116">
        <f t="shared" si="6"/>
        <v>8.3333333333333339</v>
      </c>
      <c r="K37" s="104"/>
      <c r="L37" s="104"/>
      <c r="M37" s="104"/>
      <c r="N37" s="104"/>
      <c r="O37" s="104"/>
      <c r="P37" s="104"/>
      <c r="Q37" s="104"/>
      <c r="R37" s="104"/>
    </row>
    <row r="38" spans="1:18" x14ac:dyDescent="0.25">
      <c r="A38" s="44" t="s">
        <v>331</v>
      </c>
      <c r="B38" s="44">
        <v>3</v>
      </c>
      <c r="C38" s="118">
        <f>1713.84+907</f>
        <v>2620.84</v>
      </c>
      <c r="D38" s="45">
        <v>0</v>
      </c>
      <c r="E38" s="45">
        <v>0</v>
      </c>
      <c r="F38" s="45">
        <f t="shared" si="7"/>
        <v>0</v>
      </c>
      <c r="G38" s="45"/>
      <c r="H38" s="115">
        <f t="shared" si="9"/>
        <v>0</v>
      </c>
      <c r="I38" s="115">
        <v>0</v>
      </c>
      <c r="J38" s="116">
        <f t="shared" si="6"/>
        <v>0</v>
      </c>
      <c r="K38" s="104"/>
      <c r="L38" s="104"/>
      <c r="M38" s="104"/>
      <c r="N38" s="104"/>
      <c r="O38" s="104"/>
      <c r="P38" s="104"/>
      <c r="Q38" s="104"/>
      <c r="R38" s="104"/>
    </row>
    <row r="39" spans="1:18" x14ac:dyDescent="0.25">
      <c r="A39" s="44" t="s">
        <v>332</v>
      </c>
      <c r="B39" s="44">
        <v>3</v>
      </c>
      <c r="C39" s="118">
        <f>755.65+3</f>
        <v>758.65</v>
      </c>
      <c r="D39" s="45">
        <v>0</v>
      </c>
      <c r="E39" s="45">
        <v>0</v>
      </c>
      <c r="F39" s="45">
        <f t="shared" si="7"/>
        <v>0</v>
      </c>
      <c r="G39" s="45"/>
      <c r="H39" s="115">
        <f t="shared" si="9"/>
        <v>0</v>
      </c>
      <c r="I39" s="57">
        <v>0</v>
      </c>
      <c r="J39" s="116">
        <f t="shared" si="6"/>
        <v>0</v>
      </c>
      <c r="K39" s="104"/>
      <c r="L39" s="104"/>
      <c r="M39" s="104"/>
      <c r="N39" s="104"/>
      <c r="O39" s="104"/>
      <c r="P39" s="104"/>
      <c r="Q39" s="104"/>
      <c r="R39" s="104"/>
    </row>
    <row r="40" spans="1:18" x14ac:dyDescent="0.25">
      <c r="A40" s="44" t="s">
        <v>271</v>
      </c>
      <c r="B40" s="44">
        <v>3</v>
      </c>
      <c r="C40" s="118">
        <f>6528.88+227</f>
        <v>6755.88</v>
      </c>
      <c r="D40" s="45">
        <v>410</v>
      </c>
      <c r="E40" s="45">
        <v>151</v>
      </c>
      <c r="F40" s="45">
        <f t="shared" si="7"/>
        <v>16.777777777777779</v>
      </c>
      <c r="G40" s="45"/>
      <c r="H40" s="115">
        <f t="shared" si="9"/>
        <v>12.299999999999999</v>
      </c>
      <c r="I40" s="115">
        <v>200</v>
      </c>
      <c r="J40" s="116">
        <f t="shared" si="6"/>
        <v>16.666666666666668</v>
      </c>
      <c r="K40" s="104"/>
      <c r="L40" s="104">
        <f t="shared" ref="L40:L42" si="10">SUM(E40)+(F40*3)*1.03</f>
        <v>202.84333333333333</v>
      </c>
      <c r="M40" s="104"/>
      <c r="N40" s="104"/>
      <c r="O40" s="104"/>
      <c r="P40" s="104"/>
      <c r="Q40" s="104"/>
      <c r="R40" s="104"/>
    </row>
    <row r="41" spans="1:18" x14ac:dyDescent="0.25">
      <c r="A41" s="44" t="s">
        <v>373</v>
      </c>
      <c r="B41" s="44">
        <v>3</v>
      </c>
      <c r="C41" s="118">
        <f>14709.67-4399</f>
        <v>10310.67</v>
      </c>
      <c r="D41" s="45">
        <v>350</v>
      </c>
      <c r="E41" s="45">
        <v>36</v>
      </c>
      <c r="F41" s="45">
        <f t="shared" si="7"/>
        <v>4</v>
      </c>
      <c r="G41" s="45"/>
      <c r="H41" s="115">
        <f t="shared" si="9"/>
        <v>10.5</v>
      </c>
      <c r="I41" s="57">
        <v>50</v>
      </c>
      <c r="J41" s="116">
        <f t="shared" si="6"/>
        <v>4.166666666666667</v>
      </c>
      <c r="K41" s="104"/>
      <c r="L41" s="104">
        <f t="shared" si="10"/>
        <v>48.36</v>
      </c>
      <c r="M41" s="104"/>
      <c r="N41" s="104"/>
      <c r="O41" s="104"/>
      <c r="P41" s="104"/>
      <c r="Q41" s="104"/>
      <c r="R41" s="104"/>
    </row>
    <row r="42" spans="1:18" x14ac:dyDescent="0.25">
      <c r="A42" s="44" t="s">
        <v>272</v>
      </c>
      <c r="B42" s="44">
        <v>3</v>
      </c>
      <c r="C42" s="119">
        <f>4190.6+3</f>
        <v>4193.6000000000004</v>
      </c>
      <c r="D42" s="52">
        <v>350</v>
      </c>
      <c r="E42" s="52">
        <v>0</v>
      </c>
      <c r="F42" s="52">
        <f>E42/9</f>
        <v>0</v>
      </c>
      <c r="G42" s="52"/>
      <c r="H42" s="142">
        <f t="shared" si="9"/>
        <v>10.5</v>
      </c>
      <c r="I42" s="142">
        <v>100</v>
      </c>
      <c r="J42" s="120">
        <f t="shared" si="6"/>
        <v>8.3333333333333339</v>
      </c>
      <c r="K42" s="104"/>
      <c r="L42" s="104">
        <f t="shared" si="10"/>
        <v>0</v>
      </c>
      <c r="M42" s="104"/>
      <c r="N42" s="104"/>
      <c r="O42" s="104"/>
      <c r="P42" s="104"/>
      <c r="Q42" s="104"/>
      <c r="R42" s="104"/>
    </row>
    <row r="43" spans="1:18" x14ac:dyDescent="0.25">
      <c r="A43" s="75" t="s">
        <v>81</v>
      </c>
      <c r="B43" s="44"/>
      <c r="C43" s="45">
        <f>SUM(C27:C42)</f>
        <v>378192.97</v>
      </c>
      <c r="D43" s="45">
        <f>SUM(D26:D42)</f>
        <v>4690</v>
      </c>
      <c r="E43" s="45">
        <f>SUM(E26:E42)</f>
        <v>2234</v>
      </c>
      <c r="F43" s="45">
        <f>SUM(F26:F42)</f>
        <v>248.22222222222223</v>
      </c>
      <c r="G43" s="45"/>
      <c r="H43" s="115" t="e">
        <f>SUM(H26:H42)</f>
        <v>#REF!</v>
      </c>
      <c r="I43" s="115">
        <f>SUM(I26:I42)</f>
        <v>3980</v>
      </c>
      <c r="J43" s="116">
        <f>SUM(J26:J42)</f>
        <v>323.33333333333337</v>
      </c>
      <c r="K43" s="104"/>
      <c r="L43" s="104"/>
      <c r="M43" s="104"/>
      <c r="N43" s="104"/>
      <c r="O43" s="104"/>
      <c r="P43" s="104"/>
      <c r="Q43" s="104"/>
      <c r="R43" s="104"/>
    </row>
    <row r="44" spans="1:18" x14ac:dyDescent="0.25">
      <c r="A44" s="44"/>
      <c r="B44" s="44"/>
      <c r="C44" s="45"/>
      <c r="D44" s="45"/>
      <c r="E44" s="45"/>
      <c r="F44" s="45"/>
      <c r="G44" s="45"/>
      <c r="H44" s="115"/>
      <c r="I44" s="115"/>
      <c r="J44" s="116"/>
      <c r="K44" s="104"/>
      <c r="L44" s="104"/>
      <c r="M44" s="104"/>
      <c r="N44" s="104"/>
      <c r="O44" s="104"/>
      <c r="P44" s="104"/>
      <c r="Q44" s="104"/>
      <c r="R44" s="104"/>
    </row>
    <row r="45" spans="1:18" x14ac:dyDescent="0.25">
      <c r="A45" s="75" t="s">
        <v>450</v>
      </c>
      <c r="B45" s="44"/>
      <c r="C45" s="45"/>
      <c r="D45" s="45"/>
      <c r="E45" s="45"/>
      <c r="F45" s="45"/>
      <c r="G45" s="45"/>
      <c r="H45" s="115"/>
      <c r="I45" s="115"/>
      <c r="J45" s="116"/>
      <c r="K45" s="104"/>
      <c r="L45" s="104"/>
      <c r="M45" s="104"/>
      <c r="N45" s="104"/>
      <c r="O45" s="104"/>
      <c r="P45" s="104"/>
      <c r="Q45" s="104"/>
      <c r="R45" s="104"/>
    </row>
    <row r="46" spans="1:18" x14ac:dyDescent="0.25">
      <c r="A46" s="44" t="s">
        <v>220</v>
      </c>
      <c r="B46" s="44">
        <v>3</v>
      </c>
      <c r="C46" s="118">
        <f>56950.41+3891</f>
        <v>60841.41</v>
      </c>
      <c r="D46" s="46">
        <v>760</v>
      </c>
      <c r="E46" s="45">
        <v>26</v>
      </c>
      <c r="F46" s="45">
        <f>E46/9</f>
        <v>2.8888888888888888</v>
      </c>
      <c r="G46" s="45"/>
      <c r="H46" s="115">
        <f>D46*$M$46</f>
        <v>0</v>
      </c>
      <c r="I46" s="115">
        <v>30</v>
      </c>
      <c r="J46" s="116">
        <f t="shared" ref="J46:J49" si="11">I46/12</f>
        <v>2.5</v>
      </c>
      <c r="K46" s="101" t="s">
        <v>501</v>
      </c>
      <c r="L46" s="104">
        <f t="shared" ref="L46" si="12">SUM(E46)+(F46*3)*1.03</f>
        <v>34.926666666666662</v>
      </c>
      <c r="M46" s="165"/>
      <c r="N46" s="104"/>
      <c r="O46" s="104"/>
      <c r="P46" s="104"/>
      <c r="Q46" s="104"/>
      <c r="R46" s="104"/>
    </row>
    <row r="47" spans="1:18" x14ac:dyDescent="0.25">
      <c r="A47" s="44" t="s">
        <v>47</v>
      </c>
      <c r="B47" s="44">
        <v>3</v>
      </c>
      <c r="C47" s="118">
        <f>24876.05-105</f>
        <v>24771.05</v>
      </c>
      <c r="D47" s="46">
        <v>2320</v>
      </c>
      <c r="E47" s="45">
        <v>574</v>
      </c>
      <c r="F47" s="45">
        <f t="shared" ref="F47:F48" si="13">E47/9</f>
        <v>63.777777777777779</v>
      </c>
      <c r="G47" s="45"/>
      <c r="H47" s="115">
        <f>D47*$M$47</f>
        <v>0</v>
      </c>
      <c r="I47" s="115">
        <v>790</v>
      </c>
      <c r="J47" s="116">
        <f t="shared" si="11"/>
        <v>65.833333333333329</v>
      </c>
      <c r="K47" s="101" t="s">
        <v>610</v>
      </c>
      <c r="L47" s="104">
        <f>SUM(E47)+(F47*3)*1.08</f>
        <v>780.64</v>
      </c>
      <c r="M47" s="165"/>
      <c r="N47" s="104"/>
      <c r="O47" s="104"/>
      <c r="P47" s="104"/>
      <c r="Q47" s="104"/>
      <c r="R47" s="104"/>
    </row>
    <row r="48" spans="1:18" x14ac:dyDescent="0.25">
      <c r="A48" s="44" t="s">
        <v>48</v>
      </c>
      <c r="B48" s="44">
        <v>3</v>
      </c>
      <c r="C48" s="118">
        <f>24845.71+7959</f>
        <v>32804.71</v>
      </c>
      <c r="D48" s="46">
        <v>330</v>
      </c>
      <c r="E48" s="45">
        <v>293</v>
      </c>
      <c r="F48" s="45">
        <f t="shared" si="13"/>
        <v>32.555555555555557</v>
      </c>
      <c r="G48" s="45"/>
      <c r="H48" s="115">
        <f>D48*$M$48</f>
        <v>0</v>
      </c>
      <c r="I48" s="115">
        <v>400</v>
      </c>
      <c r="J48" s="116">
        <f t="shared" si="11"/>
        <v>33.333333333333336</v>
      </c>
      <c r="K48" s="101" t="s">
        <v>533</v>
      </c>
      <c r="L48" s="104">
        <f t="shared" ref="L48" si="14">SUM(E48)+(F48*3)*1.04</f>
        <v>394.57333333333332</v>
      </c>
      <c r="M48" s="165"/>
      <c r="N48" s="104"/>
      <c r="O48" s="104"/>
      <c r="P48" s="104"/>
      <c r="Q48" s="104"/>
      <c r="R48" s="104"/>
    </row>
    <row r="49" spans="1:18" x14ac:dyDescent="0.25">
      <c r="A49" s="44" t="s">
        <v>49</v>
      </c>
      <c r="B49" s="44">
        <v>3</v>
      </c>
      <c r="C49" s="119">
        <f>12400.96+1541</f>
        <v>13941.96</v>
      </c>
      <c r="D49" s="52">
        <v>1300</v>
      </c>
      <c r="E49" s="52">
        <v>1044</v>
      </c>
      <c r="F49" s="52">
        <f>E49/9</f>
        <v>116</v>
      </c>
      <c r="G49" s="52"/>
      <c r="H49" s="142">
        <f>D49*$M$49</f>
        <v>0</v>
      </c>
      <c r="I49" s="142">
        <v>1410</v>
      </c>
      <c r="J49" s="120">
        <f t="shared" si="11"/>
        <v>117.5</v>
      </c>
      <c r="K49" s="101" t="s">
        <v>585</v>
      </c>
      <c r="L49" s="104">
        <f>SUM(E49)+(F49*3)*1.05</f>
        <v>1409.4</v>
      </c>
      <c r="M49" s="165"/>
      <c r="N49" s="104"/>
      <c r="O49" s="104"/>
      <c r="P49" s="104"/>
      <c r="Q49" s="104"/>
      <c r="R49" s="104"/>
    </row>
    <row r="50" spans="1:18" x14ac:dyDescent="0.25">
      <c r="A50" s="75" t="s">
        <v>301</v>
      </c>
      <c r="B50" s="44"/>
      <c r="C50" s="45">
        <f>SUM(C46:C49)</f>
        <v>132359.13</v>
      </c>
      <c r="D50" s="45">
        <f>SUM(D46:D49)</f>
        <v>4710</v>
      </c>
      <c r="E50" s="45">
        <f>SUM(E46:E49)</f>
        <v>1937</v>
      </c>
      <c r="F50" s="45">
        <f>SUM(F46:F49)</f>
        <v>215.22222222222223</v>
      </c>
      <c r="G50" s="45"/>
      <c r="H50" s="115">
        <f>SUM(H46:H49)</f>
        <v>0</v>
      </c>
      <c r="I50" s="115">
        <f>SUM(I46:I49)</f>
        <v>2630</v>
      </c>
      <c r="J50" s="116">
        <f t="shared" si="6"/>
        <v>219.16666666666666</v>
      </c>
      <c r="K50" s="101"/>
      <c r="L50" s="104"/>
      <c r="M50" s="104"/>
      <c r="N50" s="104"/>
      <c r="O50" s="104"/>
      <c r="P50" s="104"/>
      <c r="Q50" s="104"/>
      <c r="R50" s="104"/>
    </row>
    <row r="51" spans="1:18" x14ac:dyDescent="0.25">
      <c r="A51" s="44"/>
      <c r="B51" s="44"/>
      <c r="C51" s="45"/>
      <c r="D51" s="45"/>
      <c r="E51" s="45"/>
      <c r="F51" s="45"/>
      <c r="G51" s="45"/>
      <c r="H51" s="115"/>
      <c r="I51" s="115"/>
      <c r="J51" s="116"/>
      <c r="K51" s="101"/>
      <c r="L51" s="104"/>
      <c r="M51" s="104"/>
      <c r="N51" s="104"/>
      <c r="O51" s="104"/>
      <c r="P51" s="104"/>
      <c r="Q51" s="104"/>
      <c r="R51" s="104"/>
    </row>
    <row r="52" spans="1:18" x14ac:dyDescent="0.25">
      <c r="A52" s="75" t="s">
        <v>451</v>
      </c>
      <c r="B52" s="44"/>
      <c r="C52" s="45"/>
      <c r="D52" s="45"/>
      <c r="E52" s="45"/>
      <c r="F52" s="45"/>
      <c r="G52" s="45"/>
      <c r="H52" s="115"/>
      <c r="I52" s="115"/>
      <c r="J52" s="116"/>
      <c r="K52" s="101"/>
      <c r="L52" s="104"/>
      <c r="M52" s="104"/>
      <c r="N52" s="104"/>
      <c r="O52" s="104"/>
      <c r="P52" s="104"/>
      <c r="Q52" s="104"/>
      <c r="R52" s="104"/>
    </row>
    <row r="53" spans="1:18" hidden="1" x14ac:dyDescent="0.25">
      <c r="A53" s="44" t="s">
        <v>50</v>
      </c>
      <c r="B53" s="44">
        <v>3</v>
      </c>
      <c r="C53" s="118">
        <f>2921.33+807</f>
        <v>3728.33</v>
      </c>
      <c r="D53" s="46">
        <v>0</v>
      </c>
      <c r="E53" s="45">
        <v>0</v>
      </c>
      <c r="F53" s="45">
        <f>E53/9</f>
        <v>0</v>
      </c>
      <c r="G53" s="45"/>
      <c r="H53" s="115">
        <f t="shared" ref="H53:H65" si="15">D53*$N$7</f>
        <v>0</v>
      </c>
      <c r="I53" s="115">
        <v>0</v>
      </c>
      <c r="J53" s="116">
        <f t="shared" si="6"/>
        <v>0</v>
      </c>
      <c r="K53" s="104"/>
      <c r="L53" s="104"/>
      <c r="M53" s="104"/>
      <c r="N53" s="104"/>
      <c r="O53" s="104"/>
      <c r="P53" s="104"/>
      <c r="Q53" s="104"/>
      <c r="R53" s="104"/>
    </row>
    <row r="54" spans="1:18" hidden="1" x14ac:dyDescent="0.25">
      <c r="A54" s="44" t="s">
        <v>374</v>
      </c>
      <c r="B54" s="44">
        <v>3</v>
      </c>
      <c r="C54" s="118">
        <f>41613.62+589</f>
        <v>42202.62</v>
      </c>
      <c r="D54" s="46">
        <v>0</v>
      </c>
      <c r="E54" s="45">
        <v>0</v>
      </c>
      <c r="F54" s="45">
        <f t="shared" ref="F54:F64" si="16">E54/9</f>
        <v>0</v>
      </c>
      <c r="G54" s="45"/>
      <c r="H54" s="115">
        <f t="shared" si="15"/>
        <v>0</v>
      </c>
      <c r="I54" s="115">
        <v>0</v>
      </c>
      <c r="J54" s="116">
        <f t="shared" si="6"/>
        <v>0</v>
      </c>
      <c r="K54" s="104"/>
      <c r="L54" s="104"/>
      <c r="M54" s="104"/>
      <c r="N54" s="104"/>
      <c r="O54" s="104"/>
      <c r="P54" s="104"/>
      <c r="Q54" s="104"/>
      <c r="R54" s="104"/>
    </row>
    <row r="55" spans="1:18" x14ac:dyDescent="0.25">
      <c r="A55" s="44" t="s">
        <v>340</v>
      </c>
      <c r="B55" s="44">
        <v>3</v>
      </c>
      <c r="C55" s="118">
        <f>4277+63</f>
        <v>4340</v>
      </c>
      <c r="D55" s="46">
        <v>220</v>
      </c>
      <c r="E55" s="45">
        <v>396</v>
      </c>
      <c r="F55" s="45">
        <f t="shared" si="16"/>
        <v>44</v>
      </c>
      <c r="G55" s="45"/>
      <c r="H55" s="115">
        <f t="shared" si="15"/>
        <v>6.6</v>
      </c>
      <c r="I55" s="115">
        <v>1190</v>
      </c>
      <c r="J55" s="116">
        <f t="shared" si="6"/>
        <v>99.166666666666671</v>
      </c>
      <c r="K55" s="101" t="s">
        <v>598</v>
      </c>
      <c r="L55" s="104">
        <f>SUM(E55)+(F55*3)*1.04</f>
        <v>533.28</v>
      </c>
      <c r="M55" s="104"/>
      <c r="N55" s="104"/>
      <c r="O55" s="104"/>
      <c r="P55" s="104"/>
      <c r="Q55" s="104"/>
      <c r="R55" s="104"/>
    </row>
    <row r="56" spans="1:18" x14ac:dyDescent="0.25">
      <c r="A56" s="44" t="s">
        <v>53</v>
      </c>
      <c r="B56" s="44">
        <v>3</v>
      </c>
      <c r="C56" s="118">
        <f>4502.12+1207</f>
        <v>5709.12</v>
      </c>
      <c r="D56" s="46">
        <v>900</v>
      </c>
      <c r="E56" s="45">
        <v>1755</v>
      </c>
      <c r="F56" s="45">
        <f t="shared" si="16"/>
        <v>195</v>
      </c>
      <c r="G56" s="45"/>
      <c r="H56" s="115">
        <f t="shared" si="15"/>
        <v>27</v>
      </c>
      <c r="I56" s="115">
        <v>2360</v>
      </c>
      <c r="J56" s="116">
        <f t="shared" si="6"/>
        <v>196.66666666666666</v>
      </c>
      <c r="K56" s="101" t="s">
        <v>542</v>
      </c>
      <c r="L56" s="104">
        <f>SUM(E56)+(F56*3)*1.04</f>
        <v>2363.4</v>
      </c>
      <c r="M56" s="104"/>
      <c r="N56" s="104"/>
      <c r="O56" s="104"/>
      <c r="P56" s="104"/>
      <c r="Q56" s="104"/>
      <c r="R56" s="104"/>
    </row>
    <row r="57" spans="1:18" hidden="1" x14ac:dyDescent="0.25">
      <c r="A57" s="44" t="s">
        <v>236</v>
      </c>
      <c r="B57" s="44">
        <v>3</v>
      </c>
      <c r="C57" s="118">
        <f>160.09+713</f>
        <v>873.09</v>
      </c>
      <c r="D57" s="46">
        <v>0</v>
      </c>
      <c r="E57" s="45">
        <f t="shared" ref="E57:E90" si="17">D57/12</f>
        <v>0</v>
      </c>
      <c r="F57" s="45">
        <f t="shared" si="16"/>
        <v>0</v>
      </c>
      <c r="G57" s="45"/>
      <c r="H57" s="115">
        <f t="shared" si="15"/>
        <v>0</v>
      </c>
      <c r="I57" s="115">
        <f t="shared" ref="I57:I90" si="18">D57+H57</f>
        <v>0</v>
      </c>
      <c r="J57" s="116">
        <f t="shared" si="6"/>
        <v>0</v>
      </c>
      <c r="K57" s="104"/>
      <c r="L57" s="104"/>
      <c r="M57" s="104"/>
      <c r="N57" s="104"/>
      <c r="O57" s="104"/>
      <c r="P57" s="104"/>
      <c r="Q57" s="104"/>
      <c r="R57" s="104"/>
    </row>
    <row r="58" spans="1:18" x14ac:dyDescent="0.25">
      <c r="A58" s="44" t="s">
        <v>305</v>
      </c>
      <c r="B58" s="44">
        <v>3</v>
      </c>
      <c r="C58" s="118">
        <f>18486.48+2777</f>
        <v>21263.48</v>
      </c>
      <c r="D58" s="46">
        <v>2070</v>
      </c>
      <c r="E58" s="45">
        <v>1710</v>
      </c>
      <c r="F58" s="45">
        <f t="shared" si="16"/>
        <v>190</v>
      </c>
      <c r="G58" s="45"/>
      <c r="H58" s="115">
        <f t="shared" si="15"/>
        <v>62.099999999999994</v>
      </c>
      <c r="I58" s="115">
        <f>2300+3000</f>
        <v>5300</v>
      </c>
      <c r="J58" s="116">
        <f t="shared" si="6"/>
        <v>441.66666666666669</v>
      </c>
      <c r="K58" s="101" t="s">
        <v>604</v>
      </c>
      <c r="L58">
        <f t="shared" ref="L58:L60" si="19">SUM(E58)+(F58*3)*1.03</f>
        <v>2297.1</v>
      </c>
      <c r="M58" s="104"/>
      <c r="N58" s="104"/>
      <c r="O58" s="104"/>
      <c r="P58" s="104"/>
      <c r="Q58" s="104"/>
      <c r="R58" s="104"/>
    </row>
    <row r="59" spans="1:18" x14ac:dyDescent="0.25">
      <c r="A59" s="44" t="s">
        <v>248</v>
      </c>
      <c r="B59" s="44">
        <v>3</v>
      </c>
      <c r="C59" s="118">
        <f>56966.48-5005</f>
        <v>51961.48</v>
      </c>
      <c r="D59" s="46">
        <v>2700</v>
      </c>
      <c r="E59" s="45">
        <v>4207</v>
      </c>
      <c r="F59" s="45">
        <f t="shared" si="16"/>
        <v>467.44444444444446</v>
      </c>
      <c r="G59" s="45"/>
      <c r="H59" s="115">
        <f t="shared" si="15"/>
        <v>81</v>
      </c>
      <c r="I59" s="115">
        <v>5650</v>
      </c>
      <c r="J59" s="116">
        <f t="shared" si="6"/>
        <v>470.83333333333331</v>
      </c>
      <c r="K59" s="104"/>
      <c r="L59">
        <f t="shared" si="19"/>
        <v>5651.4033333333336</v>
      </c>
      <c r="M59" s="104"/>
      <c r="N59" s="104"/>
      <c r="O59" s="104"/>
      <c r="P59" s="104"/>
      <c r="Q59" s="104"/>
      <c r="R59" s="104"/>
    </row>
    <row r="60" spans="1:18" x14ac:dyDescent="0.25">
      <c r="A60" s="44" t="s">
        <v>55</v>
      </c>
      <c r="B60" s="44">
        <v>3</v>
      </c>
      <c r="C60" s="118">
        <f>136422.19-26033</f>
        <v>110389.19</v>
      </c>
      <c r="D60" s="46">
        <v>4150</v>
      </c>
      <c r="E60" s="45">
        <v>1445</v>
      </c>
      <c r="F60" s="45">
        <f t="shared" si="16"/>
        <v>160.55555555555554</v>
      </c>
      <c r="G60" s="45"/>
      <c r="H60" s="115">
        <f t="shared" si="15"/>
        <v>124.5</v>
      </c>
      <c r="I60" s="115">
        <v>1940</v>
      </c>
      <c r="J60" s="116">
        <f t="shared" si="6"/>
        <v>161.66666666666666</v>
      </c>
      <c r="K60" s="104"/>
      <c r="L60">
        <f t="shared" si="19"/>
        <v>1941.1166666666666</v>
      </c>
      <c r="M60" s="104"/>
      <c r="N60" s="104"/>
      <c r="O60" s="104"/>
      <c r="P60" s="104"/>
      <c r="Q60" s="104"/>
      <c r="R60" s="104"/>
    </row>
    <row r="61" spans="1:18" x14ac:dyDescent="0.25">
      <c r="A61" s="44" t="s">
        <v>496</v>
      </c>
      <c r="B61" s="44"/>
      <c r="C61" s="118"/>
      <c r="D61" s="45">
        <v>1500</v>
      </c>
      <c r="E61" s="46">
        <v>1086</v>
      </c>
      <c r="F61" s="46">
        <f t="shared" si="16"/>
        <v>120.66666666666667</v>
      </c>
      <c r="G61" s="46"/>
      <c r="H61" s="57">
        <v>0</v>
      </c>
      <c r="I61" s="115">
        <v>1460</v>
      </c>
      <c r="J61" s="58">
        <f t="shared" si="6"/>
        <v>121.66666666666667</v>
      </c>
      <c r="K61" s="101"/>
      <c r="L61">
        <f t="shared" ref="L61:L63" si="20">SUM(E61)+(F61*3)*1.03</f>
        <v>1458.8600000000001</v>
      </c>
      <c r="M61" s="104"/>
      <c r="N61" s="104"/>
      <c r="O61" s="104"/>
      <c r="P61" s="104"/>
      <c r="Q61" s="104"/>
      <c r="R61" s="104"/>
    </row>
    <row r="62" spans="1:18" x14ac:dyDescent="0.25">
      <c r="A62" s="44" t="s">
        <v>497</v>
      </c>
      <c r="B62" s="44"/>
      <c r="C62" s="118"/>
      <c r="D62" s="45">
        <v>2850</v>
      </c>
      <c r="E62" s="46">
        <v>1524</v>
      </c>
      <c r="F62" s="46">
        <f t="shared" si="16"/>
        <v>169.33333333333334</v>
      </c>
      <c r="G62" s="46"/>
      <c r="H62" s="57">
        <v>0</v>
      </c>
      <c r="I62" s="57">
        <v>2050</v>
      </c>
      <c r="J62" s="58">
        <f t="shared" si="6"/>
        <v>170.83333333333334</v>
      </c>
      <c r="K62" s="101"/>
      <c r="L62">
        <f t="shared" si="20"/>
        <v>2047.24</v>
      </c>
      <c r="M62" s="104"/>
      <c r="N62" s="104"/>
      <c r="O62" s="104"/>
      <c r="P62" s="104"/>
      <c r="Q62" s="104"/>
      <c r="R62" s="104"/>
    </row>
    <row r="63" spans="1:18" x14ac:dyDescent="0.25">
      <c r="A63" s="44" t="s">
        <v>57</v>
      </c>
      <c r="B63" s="44">
        <v>3</v>
      </c>
      <c r="C63" s="119">
        <f>25435.87-6342</f>
        <v>19093.87</v>
      </c>
      <c r="D63" s="45">
        <v>720</v>
      </c>
      <c r="E63" s="46">
        <v>720</v>
      </c>
      <c r="F63" s="46">
        <f>E63/9</f>
        <v>80</v>
      </c>
      <c r="G63" s="46"/>
      <c r="H63" s="57">
        <f t="shared" ref="H63" si="21">D63*$N$50</f>
        <v>0</v>
      </c>
      <c r="I63" s="57">
        <v>1120</v>
      </c>
      <c r="J63" s="58">
        <f t="shared" si="6"/>
        <v>93.333333333333329</v>
      </c>
      <c r="K63" s="104"/>
      <c r="L63">
        <f t="shared" si="20"/>
        <v>967.2</v>
      </c>
    </row>
    <row r="64" spans="1:18" x14ac:dyDescent="0.25">
      <c r="A64" s="44" t="s">
        <v>457</v>
      </c>
      <c r="B64" s="44"/>
      <c r="C64" s="118"/>
      <c r="D64" s="46">
        <v>180</v>
      </c>
      <c r="E64" s="45">
        <v>0</v>
      </c>
      <c r="F64" s="45">
        <f t="shared" si="16"/>
        <v>0</v>
      </c>
      <c r="G64" s="45"/>
      <c r="H64" s="115">
        <f t="shared" si="15"/>
        <v>5.3999999999999995</v>
      </c>
      <c r="I64" s="115">
        <v>180</v>
      </c>
      <c r="J64" s="116">
        <f t="shared" si="6"/>
        <v>15</v>
      </c>
      <c r="K64" s="104"/>
      <c r="L64" s="104"/>
      <c r="M64" s="104"/>
      <c r="N64" s="104"/>
      <c r="O64" s="104"/>
      <c r="P64" s="104"/>
      <c r="Q64" s="104"/>
      <c r="R64" s="104"/>
    </row>
    <row r="65" spans="1:18" x14ac:dyDescent="0.25">
      <c r="A65" s="44" t="s">
        <v>56</v>
      </c>
      <c r="B65" s="44">
        <v>3</v>
      </c>
      <c r="C65" s="119">
        <v>203</v>
      </c>
      <c r="D65" s="52">
        <v>2400</v>
      </c>
      <c r="E65" s="52">
        <v>309</v>
      </c>
      <c r="F65" s="52">
        <f>E65/9</f>
        <v>34.333333333333336</v>
      </c>
      <c r="G65" s="52"/>
      <c r="H65" s="142">
        <f t="shared" si="15"/>
        <v>72</v>
      </c>
      <c r="I65" s="142">
        <v>2400</v>
      </c>
      <c r="J65" s="120">
        <f t="shared" si="6"/>
        <v>200</v>
      </c>
      <c r="K65" s="240"/>
      <c r="L65" s="104"/>
      <c r="M65" s="104"/>
      <c r="N65" s="104"/>
      <c r="O65" s="104"/>
      <c r="P65" s="104"/>
      <c r="Q65" s="104"/>
      <c r="R65" s="104"/>
    </row>
    <row r="66" spans="1:18" x14ac:dyDescent="0.25">
      <c r="A66" s="75" t="s">
        <v>84</v>
      </c>
      <c r="B66" s="44"/>
      <c r="C66" s="45">
        <f>SUM(C53:C65)</f>
        <v>259764.18</v>
      </c>
      <c r="D66" s="45">
        <f>SUM(D53:D65)</f>
        <v>17690</v>
      </c>
      <c r="E66" s="45">
        <f>SUM(E53:E65)</f>
        <v>13152</v>
      </c>
      <c r="F66" s="45">
        <f>SUM(F53:F65)</f>
        <v>1461.3333333333333</v>
      </c>
      <c r="G66" s="45"/>
      <c r="H66" s="115">
        <f>SUM(H53:H65)</f>
        <v>378.59999999999997</v>
      </c>
      <c r="I66" s="115">
        <f>SUM(I53:I65)</f>
        <v>23650</v>
      </c>
      <c r="J66" s="116">
        <f t="shared" si="6"/>
        <v>1970.8333333333333</v>
      </c>
      <c r="K66" s="104"/>
      <c r="L66" s="104"/>
      <c r="M66" s="104"/>
      <c r="N66" s="104"/>
      <c r="O66" s="104"/>
      <c r="P66" s="104"/>
      <c r="Q66" s="104"/>
      <c r="R66" s="104"/>
    </row>
    <row r="67" spans="1:18" x14ac:dyDescent="0.25">
      <c r="A67" s="44"/>
      <c r="B67" s="44"/>
      <c r="C67" s="45"/>
      <c r="D67" s="45"/>
      <c r="E67" s="45"/>
      <c r="F67" s="45"/>
      <c r="G67" s="45"/>
      <c r="H67" s="115"/>
      <c r="I67" s="115"/>
      <c r="J67" s="116"/>
      <c r="K67" s="104"/>
      <c r="L67" s="104"/>
      <c r="M67" s="104"/>
      <c r="N67" s="104"/>
      <c r="O67" s="104"/>
      <c r="P67" s="104"/>
      <c r="Q67" s="104"/>
      <c r="R67" s="104"/>
    </row>
    <row r="68" spans="1:18" x14ac:dyDescent="0.25">
      <c r="A68" s="75" t="s">
        <v>452</v>
      </c>
      <c r="B68" s="44"/>
      <c r="C68" s="45"/>
      <c r="D68" s="45"/>
      <c r="E68" s="45"/>
      <c r="F68" s="45"/>
      <c r="G68" s="45"/>
      <c r="H68" s="115"/>
      <c r="I68" s="115"/>
      <c r="J68" s="116"/>
      <c r="K68" s="101"/>
      <c r="L68" s="104"/>
      <c r="M68" s="104"/>
      <c r="N68" s="104"/>
      <c r="O68" s="104"/>
      <c r="P68" s="104"/>
      <c r="Q68" s="104"/>
      <c r="R68" s="104"/>
    </row>
    <row r="69" spans="1:18" x14ac:dyDescent="0.25">
      <c r="A69" s="44" t="s">
        <v>42</v>
      </c>
      <c r="B69" s="44">
        <v>3</v>
      </c>
      <c r="C69" s="118">
        <f>17857.13-495</f>
        <v>17362.13</v>
      </c>
      <c r="D69" s="46">
        <v>0</v>
      </c>
      <c r="E69" s="45">
        <v>3</v>
      </c>
      <c r="F69" s="45">
        <f>E69/9</f>
        <v>0.33333333333333331</v>
      </c>
      <c r="G69" s="45"/>
      <c r="H69" s="115">
        <f>D69*$M$69</f>
        <v>0</v>
      </c>
      <c r="I69" s="115">
        <v>180</v>
      </c>
      <c r="J69" s="116">
        <f t="shared" ref="J69:J73" si="22">I69/12</f>
        <v>15</v>
      </c>
      <c r="K69" s="101" t="s">
        <v>425</v>
      </c>
      <c r="L69" s="104">
        <f>SUM($I$65)*7.65%</f>
        <v>183.6</v>
      </c>
      <c r="M69" s="166">
        <v>7.6499999999999999E-2</v>
      </c>
      <c r="N69" s="104"/>
      <c r="O69" s="104"/>
      <c r="P69" s="104"/>
      <c r="Q69" s="104"/>
      <c r="R69" s="104"/>
    </row>
    <row r="70" spans="1:18" x14ac:dyDescent="0.25">
      <c r="A70" s="44" t="s">
        <v>318</v>
      </c>
      <c r="B70" s="44">
        <v>3</v>
      </c>
      <c r="C70" s="118">
        <f>21162.07+4067</f>
        <v>25229.07</v>
      </c>
      <c r="D70" s="46">
        <v>0</v>
      </c>
      <c r="E70" s="45">
        <v>1238</v>
      </c>
      <c r="F70" s="45">
        <f t="shared" ref="F70:F74" si="23">E70/9</f>
        <v>137.55555555555554</v>
      </c>
      <c r="G70" s="45"/>
      <c r="H70" s="115">
        <f>D70*$M$70</f>
        <v>0</v>
      </c>
      <c r="I70" s="115">
        <v>1670</v>
      </c>
      <c r="J70" s="116">
        <f t="shared" si="22"/>
        <v>139.16666666666666</v>
      </c>
      <c r="K70" s="101" t="s">
        <v>422</v>
      </c>
      <c r="L70" s="104">
        <f>SUM(E70)+(F70*3)*1.05</f>
        <v>1671.3</v>
      </c>
      <c r="M70" s="165">
        <v>0.05</v>
      </c>
      <c r="N70" s="104"/>
      <c r="O70" s="104"/>
      <c r="P70" s="104"/>
      <c r="Q70" s="104"/>
      <c r="R70" s="104"/>
    </row>
    <row r="71" spans="1:18" x14ac:dyDescent="0.25">
      <c r="A71" s="44" t="s">
        <v>59</v>
      </c>
      <c r="B71" s="44">
        <v>3</v>
      </c>
      <c r="C71" s="118">
        <f>66785.16-8677</f>
        <v>58108.160000000003</v>
      </c>
      <c r="D71" s="46">
        <v>0</v>
      </c>
      <c r="E71" s="45">
        <v>7</v>
      </c>
      <c r="F71" s="45">
        <f t="shared" si="23"/>
        <v>0.77777777777777779</v>
      </c>
      <c r="G71" s="45"/>
      <c r="H71" s="115">
        <f>D71*$M$71</f>
        <v>0</v>
      </c>
      <c r="I71" s="115">
        <v>720</v>
      </c>
      <c r="J71" s="116">
        <f t="shared" si="22"/>
        <v>60</v>
      </c>
      <c r="K71" s="101" t="s">
        <v>502</v>
      </c>
      <c r="L71" s="104">
        <f>SUM($I$65)*30%</f>
        <v>720</v>
      </c>
      <c r="M71" s="165">
        <v>0.3</v>
      </c>
      <c r="N71" s="104"/>
      <c r="O71" s="104"/>
      <c r="P71" s="104"/>
      <c r="Q71" s="104"/>
      <c r="R71" s="104"/>
    </row>
    <row r="72" spans="1:18" x14ac:dyDescent="0.25">
      <c r="A72" s="44" t="s">
        <v>287</v>
      </c>
      <c r="B72" s="44">
        <v>3</v>
      </c>
      <c r="C72" s="118">
        <f>2231.4+909</f>
        <v>3140.4</v>
      </c>
      <c r="D72" s="46">
        <v>500</v>
      </c>
      <c r="E72" s="45">
        <v>595</v>
      </c>
      <c r="F72" s="45">
        <f t="shared" si="23"/>
        <v>66.111111111111114</v>
      </c>
      <c r="G72" s="45"/>
      <c r="H72" s="115">
        <f>D72*$M$46</f>
        <v>0</v>
      </c>
      <c r="I72" s="115">
        <v>70</v>
      </c>
      <c r="J72" s="116">
        <f t="shared" si="22"/>
        <v>5.833333333333333</v>
      </c>
      <c r="K72" s="101" t="s">
        <v>543</v>
      </c>
      <c r="L72" s="104">
        <f>SUM($I$65)*3%</f>
        <v>72</v>
      </c>
      <c r="M72" s="104"/>
      <c r="N72" s="104"/>
      <c r="O72" s="104"/>
      <c r="P72" s="104"/>
      <c r="Q72" s="104"/>
      <c r="R72" s="104"/>
    </row>
    <row r="73" spans="1:18" hidden="1" x14ac:dyDescent="0.25">
      <c r="A73" s="44" t="s">
        <v>61</v>
      </c>
      <c r="B73" s="44">
        <v>3</v>
      </c>
      <c r="C73" s="45">
        <f>27130.12-1061</f>
        <v>26069.119999999999</v>
      </c>
      <c r="D73" s="45">
        <v>0</v>
      </c>
      <c r="E73" s="45">
        <v>0</v>
      </c>
      <c r="F73" s="45">
        <f t="shared" si="23"/>
        <v>0</v>
      </c>
      <c r="G73" s="45"/>
      <c r="H73" s="115" t="e">
        <f>D73*#REF!</f>
        <v>#REF!</v>
      </c>
      <c r="I73" s="115">
        <v>0</v>
      </c>
      <c r="J73" s="116">
        <f t="shared" si="22"/>
        <v>0</v>
      </c>
      <c r="K73" s="101"/>
      <c r="L73" s="104"/>
      <c r="M73" s="104"/>
      <c r="N73" s="104"/>
      <c r="O73" s="104"/>
      <c r="P73" s="104"/>
      <c r="Q73" s="104"/>
      <c r="R73" s="104"/>
    </row>
    <row r="74" spans="1:18" x14ac:dyDescent="0.25">
      <c r="A74" s="44" t="s">
        <v>346</v>
      </c>
      <c r="B74" s="44">
        <v>3</v>
      </c>
      <c r="C74" s="118">
        <f>220.09+13</f>
        <v>233.09</v>
      </c>
      <c r="D74" s="46">
        <v>10</v>
      </c>
      <c r="E74" s="45">
        <v>0</v>
      </c>
      <c r="F74" s="45">
        <f t="shared" si="23"/>
        <v>0</v>
      </c>
      <c r="G74" s="45"/>
      <c r="H74" s="115">
        <f>D74*$N$7</f>
        <v>0.3</v>
      </c>
      <c r="I74" s="115">
        <v>0</v>
      </c>
      <c r="J74" s="116">
        <f t="shared" si="6"/>
        <v>0</v>
      </c>
      <c r="K74" s="101" t="s">
        <v>347</v>
      </c>
      <c r="L74" s="104"/>
      <c r="M74" s="104"/>
      <c r="N74" s="104"/>
      <c r="O74" s="104"/>
      <c r="P74" s="104"/>
      <c r="Q74" s="104"/>
      <c r="R74" s="104"/>
    </row>
    <row r="75" spans="1:18" x14ac:dyDescent="0.25">
      <c r="A75" s="44" t="s">
        <v>62</v>
      </c>
      <c r="B75" s="44">
        <v>3</v>
      </c>
      <c r="C75" s="119">
        <v>139481.24</v>
      </c>
      <c r="D75" s="52">
        <v>9720</v>
      </c>
      <c r="E75" s="52">
        <v>7404</v>
      </c>
      <c r="F75" s="52">
        <f>E75/9</f>
        <v>822.66666666666663</v>
      </c>
      <c r="G75" s="52"/>
      <c r="H75" s="142">
        <v>0</v>
      </c>
      <c r="I75" s="142">
        <v>9870</v>
      </c>
      <c r="J75" s="120">
        <f t="shared" si="6"/>
        <v>822.5</v>
      </c>
      <c r="K75" s="101" t="s">
        <v>253</v>
      </c>
      <c r="L75" s="104"/>
      <c r="M75" s="104"/>
      <c r="N75" s="104"/>
      <c r="O75" s="104"/>
      <c r="P75" s="104"/>
      <c r="Q75" s="104"/>
      <c r="R75" s="104"/>
    </row>
    <row r="76" spans="1:18" x14ac:dyDescent="0.25">
      <c r="A76" s="75" t="s">
        <v>85</v>
      </c>
      <c r="B76" s="44"/>
      <c r="C76" s="45">
        <f>SUM(C69:C75)</f>
        <v>269623.20999999996</v>
      </c>
      <c r="D76" s="45">
        <f>SUM(D69:D75)</f>
        <v>10230</v>
      </c>
      <c r="E76" s="45">
        <f>SUM(E69:E75)</f>
        <v>9247</v>
      </c>
      <c r="F76" s="45">
        <f>SUM(F69:F75)</f>
        <v>1027.4444444444443</v>
      </c>
      <c r="G76" s="45"/>
      <c r="H76" s="115" t="e">
        <f>SUM(H69:H75)</f>
        <v>#REF!</v>
      </c>
      <c r="I76" s="115">
        <f>SUM(I69:I75)</f>
        <v>12510</v>
      </c>
      <c r="J76" s="116">
        <f>SUM(J69:J75)</f>
        <v>1042.5</v>
      </c>
      <c r="K76" s="208"/>
      <c r="L76" s="104"/>
      <c r="M76" s="104"/>
      <c r="N76" s="104"/>
      <c r="O76" s="104"/>
      <c r="P76" s="104"/>
      <c r="Q76" s="104"/>
      <c r="R76" s="104"/>
    </row>
    <row r="77" spans="1:18" x14ac:dyDescent="0.25">
      <c r="A77" s="44"/>
      <c r="B77" s="44"/>
      <c r="C77" s="45"/>
      <c r="D77" s="45"/>
      <c r="E77" s="45"/>
      <c r="F77" s="45"/>
      <c r="G77" s="45"/>
      <c r="H77" s="115"/>
      <c r="I77" s="115"/>
      <c r="J77" s="116"/>
      <c r="K77" s="208"/>
      <c r="L77" s="104"/>
      <c r="M77" s="104"/>
      <c r="N77" s="104"/>
      <c r="O77" s="104"/>
      <c r="P77" s="104"/>
      <c r="Q77" s="104"/>
      <c r="R77" s="104"/>
    </row>
    <row r="78" spans="1:18" x14ac:dyDescent="0.25">
      <c r="A78" s="75" t="s">
        <v>454</v>
      </c>
      <c r="B78" s="44"/>
      <c r="C78" s="45"/>
      <c r="D78" s="45"/>
      <c r="E78" s="45"/>
      <c r="F78" s="45"/>
      <c r="G78" s="45"/>
      <c r="H78" s="115"/>
      <c r="I78" s="115"/>
      <c r="J78" s="116"/>
      <c r="K78" s="208"/>
      <c r="L78" s="104"/>
      <c r="M78" s="104"/>
      <c r="N78" s="104"/>
      <c r="O78" s="104"/>
      <c r="P78" s="104"/>
      <c r="Q78" s="104"/>
      <c r="R78" s="104"/>
    </row>
    <row r="79" spans="1:18" x14ac:dyDescent="0.25">
      <c r="A79" s="44" t="s">
        <v>307</v>
      </c>
      <c r="B79" s="44">
        <v>3</v>
      </c>
      <c r="C79" s="118">
        <v>174358.63</v>
      </c>
      <c r="D79" s="46">
        <v>14530</v>
      </c>
      <c r="E79" s="45">
        <v>12141</v>
      </c>
      <c r="F79" s="45">
        <f>E79/9</f>
        <v>1349</v>
      </c>
      <c r="G79" s="45"/>
      <c r="H79" s="115">
        <v>0</v>
      </c>
      <c r="I79" s="115">
        <v>13970</v>
      </c>
      <c r="J79" s="116">
        <f>I79/12</f>
        <v>1164.1666666666667</v>
      </c>
      <c r="K79" s="101" t="s">
        <v>507</v>
      </c>
      <c r="L79" s="104"/>
      <c r="M79" s="104"/>
      <c r="N79" s="104"/>
      <c r="O79" s="104"/>
      <c r="P79" s="104"/>
      <c r="Q79" s="104"/>
      <c r="R79" s="104"/>
    </row>
    <row r="80" spans="1:18" x14ac:dyDescent="0.25">
      <c r="A80" s="44" t="s">
        <v>289</v>
      </c>
      <c r="B80" s="44">
        <v>3</v>
      </c>
      <c r="C80" s="119">
        <v>277977.89</v>
      </c>
      <c r="D80" s="53">
        <v>12890</v>
      </c>
      <c r="E80" s="52">
        <v>10709</v>
      </c>
      <c r="F80" s="52">
        <f>E80/9</f>
        <v>1189.8888888888889</v>
      </c>
      <c r="G80" s="52"/>
      <c r="H80" s="142">
        <v>0</v>
      </c>
      <c r="I80" s="142">
        <v>13450</v>
      </c>
      <c r="J80" s="120">
        <f>I80/12</f>
        <v>1120.8333333333333</v>
      </c>
      <c r="K80" s="101" t="s">
        <v>507</v>
      </c>
      <c r="L80" s="104"/>
      <c r="M80" s="104"/>
      <c r="N80" s="104"/>
      <c r="O80" s="104"/>
      <c r="P80" s="104"/>
      <c r="Q80" s="104"/>
      <c r="R80" s="104"/>
    </row>
    <row r="81" spans="1:18" x14ac:dyDescent="0.25">
      <c r="A81" s="75" t="s">
        <v>308</v>
      </c>
      <c r="B81" s="44"/>
      <c r="C81" s="45">
        <f>SUM(C77:C80)</f>
        <v>452336.52</v>
      </c>
      <c r="D81" s="45">
        <f t="shared" ref="D81:J81" si="24">SUM(D77:D80)</f>
        <v>27420</v>
      </c>
      <c r="E81" s="45">
        <f t="shared" si="24"/>
        <v>22850</v>
      </c>
      <c r="F81" s="45">
        <f>SUM(F79:F80)</f>
        <v>2538.8888888888887</v>
      </c>
      <c r="G81" s="45"/>
      <c r="H81" s="115">
        <f t="shared" si="24"/>
        <v>0</v>
      </c>
      <c r="I81" s="115">
        <f t="shared" si="24"/>
        <v>27420</v>
      </c>
      <c r="J81" s="116">
        <f t="shared" si="24"/>
        <v>2285</v>
      </c>
      <c r="K81" s="101"/>
      <c r="L81" s="104"/>
      <c r="M81" s="104"/>
      <c r="N81" s="104"/>
      <c r="O81" s="104"/>
      <c r="P81" s="104"/>
      <c r="Q81" s="104"/>
      <c r="R81" s="104"/>
    </row>
    <row r="82" spans="1:18" x14ac:dyDescent="0.25">
      <c r="A82" s="44"/>
      <c r="B82" s="44"/>
      <c r="C82" s="118"/>
      <c r="D82" s="118"/>
      <c r="E82" s="118"/>
      <c r="F82" s="118"/>
      <c r="G82" s="118"/>
      <c r="H82" s="115"/>
      <c r="I82" s="115"/>
      <c r="J82" s="116"/>
      <c r="K82" s="208"/>
      <c r="L82" s="104"/>
      <c r="M82" s="104"/>
      <c r="N82" s="104"/>
      <c r="O82" s="104"/>
      <c r="P82" s="104"/>
      <c r="Q82" s="104"/>
      <c r="R82" s="104"/>
    </row>
    <row r="83" spans="1:18" x14ac:dyDescent="0.25">
      <c r="A83" s="75" t="s">
        <v>78</v>
      </c>
      <c r="B83" s="44"/>
      <c r="C83" s="118"/>
      <c r="D83" s="118"/>
      <c r="E83" s="118"/>
      <c r="F83" s="118"/>
      <c r="G83" s="118"/>
      <c r="H83" s="115"/>
      <c r="I83" s="115"/>
      <c r="J83" s="116"/>
      <c r="K83" s="208"/>
      <c r="L83" s="104"/>
      <c r="M83" s="104"/>
      <c r="N83" s="104"/>
      <c r="O83" s="104"/>
      <c r="P83" s="104"/>
      <c r="Q83" s="104"/>
      <c r="R83" s="104"/>
    </row>
    <row r="84" spans="1:18" x14ac:dyDescent="0.25">
      <c r="A84" s="44" t="s">
        <v>63</v>
      </c>
      <c r="B84" s="44">
        <v>3</v>
      </c>
      <c r="C84" s="119">
        <v>35806.879999999997</v>
      </c>
      <c r="D84" s="53">
        <v>1800</v>
      </c>
      <c r="E84" s="52">
        <v>1500</v>
      </c>
      <c r="F84" s="52">
        <f>E84/9</f>
        <v>166.66666666666666</v>
      </c>
      <c r="G84" s="52"/>
      <c r="H84" s="142">
        <v>0</v>
      </c>
      <c r="I84" s="142">
        <v>1800</v>
      </c>
      <c r="J84" s="120">
        <f t="shared" si="6"/>
        <v>150</v>
      </c>
      <c r="K84" s="208"/>
      <c r="L84" s="104"/>
      <c r="M84" s="104"/>
      <c r="N84" s="104"/>
      <c r="O84" s="104"/>
      <c r="P84" s="104"/>
      <c r="Q84" s="104"/>
      <c r="R84" s="104"/>
    </row>
    <row r="85" spans="1:18" x14ac:dyDescent="0.25">
      <c r="A85" s="75" t="s">
        <v>86</v>
      </c>
      <c r="B85" s="44"/>
      <c r="C85" s="45">
        <f>SUM(C82:C84)</f>
        <v>35806.879999999997</v>
      </c>
      <c r="D85" s="45">
        <f t="shared" ref="D85:J85" si="25">SUM(D82:D84)</f>
        <v>1800</v>
      </c>
      <c r="E85" s="45">
        <f t="shared" si="25"/>
        <v>1500</v>
      </c>
      <c r="F85" s="45">
        <f>SUM(F84)</f>
        <v>166.66666666666666</v>
      </c>
      <c r="G85" s="45"/>
      <c r="H85" s="115">
        <f t="shared" si="25"/>
        <v>0</v>
      </c>
      <c r="I85" s="115">
        <f t="shared" si="25"/>
        <v>1800</v>
      </c>
      <c r="J85" s="116">
        <f t="shared" si="25"/>
        <v>150</v>
      </c>
      <c r="K85" s="101"/>
      <c r="L85" s="104"/>
      <c r="M85" s="104"/>
      <c r="N85" s="104"/>
      <c r="O85" s="104"/>
      <c r="P85" s="104"/>
      <c r="Q85" s="104"/>
      <c r="R85" s="104"/>
    </row>
    <row r="86" spans="1:18" x14ac:dyDescent="0.25">
      <c r="A86" s="75"/>
      <c r="B86" s="44"/>
      <c r="C86" s="45"/>
      <c r="D86" s="45"/>
      <c r="E86" s="45"/>
      <c r="F86" s="45"/>
      <c r="G86" s="45"/>
      <c r="H86" s="115"/>
      <c r="I86" s="115"/>
      <c r="J86" s="116"/>
      <c r="K86" s="208"/>
      <c r="L86" s="104"/>
      <c r="M86" s="104"/>
      <c r="N86" s="104"/>
      <c r="O86" s="104"/>
      <c r="P86" s="104"/>
      <c r="Q86" s="104"/>
      <c r="R86" s="104"/>
    </row>
    <row r="87" spans="1:18" hidden="1" x14ac:dyDescent="0.25">
      <c r="A87" s="44" t="s">
        <v>375</v>
      </c>
      <c r="B87" s="44">
        <v>3</v>
      </c>
      <c r="C87" s="118">
        <v>0</v>
      </c>
      <c r="D87" s="118">
        <f t="shared" ref="D87:D90" si="26">C87/3</f>
        <v>0</v>
      </c>
      <c r="E87" s="118">
        <f t="shared" si="17"/>
        <v>0</v>
      </c>
      <c r="F87" s="118">
        <f t="shared" ref="F87:F90" si="27">E87/9</f>
        <v>0</v>
      </c>
      <c r="G87" s="118"/>
      <c r="H87" s="115">
        <f>D87*$N$7</f>
        <v>0</v>
      </c>
      <c r="I87" s="115">
        <f t="shared" si="18"/>
        <v>0</v>
      </c>
      <c r="J87" s="116">
        <f t="shared" si="6"/>
        <v>0</v>
      </c>
      <c r="K87" s="101"/>
      <c r="L87" s="104"/>
      <c r="M87" s="104"/>
      <c r="N87" s="104"/>
      <c r="O87" s="104"/>
      <c r="P87" s="104"/>
      <c r="Q87" s="104"/>
      <c r="R87" s="104"/>
    </row>
    <row r="88" spans="1:18" hidden="1" x14ac:dyDescent="0.25">
      <c r="A88" s="44" t="s">
        <v>376</v>
      </c>
      <c r="B88" s="44">
        <v>3</v>
      </c>
      <c r="C88" s="118">
        <v>0</v>
      </c>
      <c r="D88" s="118">
        <f t="shared" si="26"/>
        <v>0</v>
      </c>
      <c r="E88" s="118">
        <f t="shared" si="17"/>
        <v>0</v>
      </c>
      <c r="F88" s="118">
        <f t="shared" si="27"/>
        <v>0</v>
      </c>
      <c r="G88" s="118"/>
      <c r="H88" s="115">
        <f>D88*$N$7</f>
        <v>0</v>
      </c>
      <c r="I88" s="115">
        <f t="shared" si="18"/>
        <v>0</v>
      </c>
      <c r="J88" s="116">
        <f t="shared" si="6"/>
        <v>0</v>
      </c>
      <c r="K88" s="208"/>
      <c r="L88" s="104"/>
      <c r="M88" s="104"/>
      <c r="N88" s="104"/>
      <c r="O88" s="104"/>
      <c r="P88" s="104"/>
      <c r="Q88" s="104"/>
      <c r="R88" s="104"/>
    </row>
    <row r="89" spans="1:18" hidden="1" x14ac:dyDescent="0.25">
      <c r="A89" s="44" t="s">
        <v>377</v>
      </c>
      <c r="B89" s="44">
        <v>3</v>
      </c>
      <c r="C89" s="118">
        <v>0</v>
      </c>
      <c r="D89" s="46">
        <f t="shared" si="26"/>
        <v>0</v>
      </c>
      <c r="E89" s="45">
        <f t="shared" si="17"/>
        <v>0</v>
      </c>
      <c r="F89" s="45">
        <f t="shared" si="27"/>
        <v>0</v>
      </c>
      <c r="G89" s="45"/>
      <c r="H89" s="115">
        <f>D89*$N$7</f>
        <v>0</v>
      </c>
      <c r="I89" s="115">
        <f t="shared" si="18"/>
        <v>0</v>
      </c>
      <c r="J89" s="116">
        <f t="shared" si="6"/>
        <v>0</v>
      </c>
      <c r="K89" s="101"/>
      <c r="L89" s="104"/>
      <c r="M89" s="104"/>
      <c r="N89" s="104"/>
      <c r="O89" s="104"/>
      <c r="P89" s="104"/>
      <c r="Q89" s="104"/>
      <c r="R89" s="104"/>
    </row>
    <row r="90" spans="1:18" hidden="1" x14ac:dyDescent="0.25">
      <c r="A90" s="44" t="s">
        <v>378</v>
      </c>
      <c r="B90" s="44">
        <v>3</v>
      </c>
      <c r="C90" s="118">
        <v>0</v>
      </c>
      <c r="D90" s="46">
        <f t="shared" si="26"/>
        <v>0</v>
      </c>
      <c r="E90" s="45">
        <f t="shared" si="17"/>
        <v>0</v>
      </c>
      <c r="F90" s="45">
        <f t="shared" si="27"/>
        <v>0</v>
      </c>
      <c r="G90" s="45"/>
      <c r="H90" s="115">
        <f>D90*$N$7</f>
        <v>0</v>
      </c>
      <c r="I90" s="115">
        <f t="shared" si="18"/>
        <v>0</v>
      </c>
      <c r="J90" s="116">
        <f t="shared" ref="J90:J97" si="28">I90/12</f>
        <v>0</v>
      </c>
      <c r="K90" s="208"/>
      <c r="L90" s="104"/>
      <c r="M90" s="104"/>
      <c r="N90" s="104"/>
      <c r="O90" s="104"/>
      <c r="P90" s="104"/>
      <c r="Q90" s="104"/>
      <c r="R90" s="104"/>
    </row>
    <row r="91" spans="1:18" x14ac:dyDescent="0.25">
      <c r="A91" s="75" t="s">
        <v>453</v>
      </c>
      <c r="B91" s="44"/>
      <c r="C91" s="118"/>
      <c r="D91" s="46"/>
      <c r="E91" s="45"/>
      <c r="F91" s="45"/>
      <c r="G91" s="45"/>
      <c r="H91" s="115"/>
      <c r="I91" s="115"/>
      <c r="J91" s="116"/>
      <c r="K91" s="208"/>
      <c r="L91" s="104"/>
      <c r="M91" s="104"/>
      <c r="N91" s="104"/>
      <c r="O91" s="104"/>
      <c r="P91" s="104"/>
      <c r="Q91" s="104"/>
      <c r="R91" s="104"/>
    </row>
    <row r="92" spans="1:18" x14ac:dyDescent="0.25">
      <c r="A92" s="44" t="s">
        <v>256</v>
      </c>
      <c r="B92" s="44">
        <v>3</v>
      </c>
      <c r="C92" s="118">
        <v>17108</v>
      </c>
      <c r="D92" s="46">
        <v>2500</v>
      </c>
      <c r="E92" s="45">
        <v>0</v>
      </c>
      <c r="F92" s="45">
        <f>E92/9</f>
        <v>0</v>
      </c>
      <c r="G92" s="45"/>
      <c r="H92" s="115">
        <v>0</v>
      </c>
      <c r="I92" s="115">
        <v>0</v>
      </c>
      <c r="J92" s="116">
        <f t="shared" si="28"/>
        <v>0</v>
      </c>
      <c r="K92" s="101"/>
      <c r="L92" s="104"/>
      <c r="M92" s="104"/>
      <c r="N92" s="104"/>
      <c r="O92" s="104"/>
      <c r="P92" s="104"/>
      <c r="Q92" s="104"/>
      <c r="R92" s="104"/>
    </row>
    <row r="93" spans="1:18" x14ac:dyDescent="0.25">
      <c r="A93" s="44" t="s">
        <v>353</v>
      </c>
      <c r="B93" s="44">
        <v>3</v>
      </c>
      <c r="C93" s="118">
        <v>11472</v>
      </c>
      <c r="D93" s="53">
        <v>0</v>
      </c>
      <c r="E93" s="52">
        <v>0</v>
      </c>
      <c r="F93" s="52">
        <f t="shared" ref="F93:F96" si="29">E93/9</f>
        <v>0</v>
      </c>
      <c r="G93" s="52"/>
      <c r="H93" s="142">
        <v>0</v>
      </c>
      <c r="I93" s="142">
        <v>5500</v>
      </c>
      <c r="J93" s="120">
        <f t="shared" si="28"/>
        <v>458.33333333333331</v>
      </c>
      <c r="K93" s="101" t="s">
        <v>603</v>
      </c>
      <c r="L93" s="104"/>
      <c r="M93" s="104"/>
      <c r="N93" s="104"/>
      <c r="O93" s="104"/>
      <c r="P93" s="104"/>
      <c r="Q93" s="104"/>
      <c r="R93" s="104"/>
    </row>
    <row r="94" spans="1:18" hidden="1" x14ac:dyDescent="0.25">
      <c r="A94" s="44" t="s">
        <v>354</v>
      </c>
      <c r="B94" s="44">
        <v>3</v>
      </c>
      <c r="C94" s="118">
        <v>9276.7099999999991</v>
      </c>
      <c r="D94" s="46">
        <v>0</v>
      </c>
      <c r="E94" s="45">
        <v>0</v>
      </c>
      <c r="F94" s="45">
        <f t="shared" si="29"/>
        <v>0</v>
      </c>
      <c r="G94" s="45"/>
      <c r="H94" s="115">
        <v>0</v>
      </c>
      <c r="I94" s="115">
        <v>0</v>
      </c>
      <c r="J94" s="116">
        <f t="shared" si="28"/>
        <v>0</v>
      </c>
      <c r="K94" s="101"/>
      <c r="L94" s="104"/>
      <c r="M94" s="104"/>
      <c r="N94" s="104"/>
      <c r="O94" s="104"/>
      <c r="P94" s="104"/>
      <c r="Q94" s="104"/>
      <c r="R94" s="104"/>
    </row>
    <row r="95" spans="1:18" hidden="1" x14ac:dyDescent="0.25">
      <c r="A95" s="44" t="s">
        <v>64</v>
      </c>
      <c r="B95" s="44">
        <v>3</v>
      </c>
      <c r="C95" s="118">
        <v>2466.65</v>
      </c>
      <c r="D95" s="46">
        <v>0</v>
      </c>
      <c r="E95" s="45">
        <f t="shared" ref="E95" si="30">D95/12</f>
        <v>0</v>
      </c>
      <c r="F95" s="45">
        <f t="shared" si="29"/>
        <v>0</v>
      </c>
      <c r="G95" s="45"/>
      <c r="H95" s="115">
        <f>D95*$N$7</f>
        <v>0</v>
      </c>
      <c r="I95" s="115">
        <v>0</v>
      </c>
      <c r="J95" s="116">
        <f t="shared" si="28"/>
        <v>0</v>
      </c>
      <c r="K95" s="101"/>
      <c r="L95" s="104"/>
      <c r="M95" s="104"/>
      <c r="N95" s="104"/>
      <c r="O95" s="104"/>
      <c r="P95" s="104"/>
      <c r="Q95" s="104"/>
      <c r="R95" s="104"/>
    </row>
    <row r="96" spans="1:18" hidden="1" x14ac:dyDescent="0.25">
      <c r="A96" s="44" t="s">
        <v>26</v>
      </c>
      <c r="B96" s="44">
        <v>3</v>
      </c>
      <c r="C96" s="118">
        <v>14856.41</v>
      </c>
      <c r="D96" s="46">
        <v>0</v>
      </c>
      <c r="E96" s="45">
        <v>0</v>
      </c>
      <c r="F96" s="45">
        <f t="shared" si="29"/>
        <v>0</v>
      </c>
      <c r="G96" s="45"/>
      <c r="H96" s="115">
        <f>D96*$N$7</f>
        <v>0</v>
      </c>
      <c r="I96" s="115">
        <v>0</v>
      </c>
      <c r="J96" s="116">
        <f t="shared" si="28"/>
        <v>0</v>
      </c>
      <c r="K96" s="101"/>
      <c r="L96" s="104"/>
      <c r="M96" s="104"/>
      <c r="N96" s="104"/>
      <c r="O96" s="104"/>
      <c r="P96" s="104"/>
      <c r="Q96" s="104"/>
      <c r="R96" s="104"/>
    </row>
    <row r="97" spans="1:18" hidden="1" x14ac:dyDescent="0.25">
      <c r="A97" s="44" t="s">
        <v>65</v>
      </c>
      <c r="B97" s="44">
        <v>3</v>
      </c>
      <c r="C97" s="119">
        <v>1167.5</v>
      </c>
      <c r="D97" s="53">
        <v>0</v>
      </c>
      <c r="E97" s="52">
        <v>0</v>
      </c>
      <c r="F97" s="52">
        <f>E97/9</f>
        <v>0</v>
      </c>
      <c r="G97" s="52"/>
      <c r="H97" s="142">
        <v>0</v>
      </c>
      <c r="I97" s="142">
        <v>0</v>
      </c>
      <c r="J97" s="120">
        <f t="shared" si="28"/>
        <v>0</v>
      </c>
      <c r="K97" s="101"/>
      <c r="L97" s="104"/>
      <c r="M97" s="104"/>
      <c r="N97" s="104"/>
      <c r="O97" s="104"/>
      <c r="P97" s="104"/>
      <c r="Q97" s="104"/>
      <c r="R97" s="104"/>
    </row>
    <row r="98" spans="1:18" ht="15.75" thickBot="1" x14ac:dyDescent="0.3">
      <c r="A98" s="75" t="s">
        <v>314</v>
      </c>
      <c r="B98" s="44"/>
      <c r="C98" s="45">
        <f>SUM(C89:C97)</f>
        <v>56347.270000000004</v>
      </c>
      <c r="D98" s="45">
        <f t="shared" ref="D98:E98" si="31">SUM(D89:D97)</f>
        <v>2500</v>
      </c>
      <c r="E98" s="45">
        <f t="shared" si="31"/>
        <v>0</v>
      </c>
      <c r="F98" s="45">
        <f>SUM(F86:F97)</f>
        <v>0</v>
      </c>
      <c r="G98" s="45"/>
      <c r="H98" s="143">
        <f>SUM(H89:H97)</f>
        <v>0</v>
      </c>
      <c r="I98" s="209">
        <f>SUM(I89:I97)</f>
        <v>5500</v>
      </c>
      <c r="J98" s="210">
        <f>SUM(J89:J97)</f>
        <v>458.33333333333331</v>
      </c>
      <c r="K98" s="101"/>
      <c r="L98" s="104"/>
      <c r="M98" s="104"/>
      <c r="N98" s="104"/>
      <c r="O98" s="104"/>
      <c r="P98" s="104"/>
      <c r="Q98" s="104"/>
      <c r="R98" s="104"/>
    </row>
    <row r="99" spans="1:18" x14ac:dyDescent="0.2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1"/>
      <c r="L99" s="104"/>
      <c r="M99" s="104"/>
      <c r="N99" s="104"/>
      <c r="O99" s="104"/>
      <c r="P99" s="104"/>
      <c r="Q99" s="104"/>
      <c r="R99" s="104"/>
    </row>
    <row r="100" spans="1:18" x14ac:dyDescent="0.25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</row>
  </sheetData>
  <customSheetViews>
    <customSheetView guid="{D54A66AC-88E3-46FB-AFE3-2E559F565FEB}" scale="90" hiddenRows="1" hiddenColumns="1">
      <pane xSplit="2" ySplit="4" topLeftCell="D5" activePane="bottomRight" state="frozen"/>
      <selection pane="bottomRight" activeCell="L1" sqref="L1:N1048576"/>
      <pageMargins left="0.75" right="0.75" top="1" bottom="1" header="0.5" footer="0.5"/>
      <pageSetup scale="46" fitToHeight="2" orientation="portrait" r:id="rId1"/>
      <headerFooter alignWithMargins="0"/>
    </customSheetView>
  </customSheetViews>
  <pageMargins left="0.75" right="0.75" top="1" bottom="1" header="0.5" footer="0.5"/>
  <pageSetup scale="46" fitToHeight="2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7"/>
  <sheetViews>
    <sheetView zoomScale="90" zoomScaleNormal="90" workbookViewId="0">
      <pane xSplit="3" ySplit="4" topLeftCell="D9" activePane="bottomRight" state="frozen"/>
      <selection activeCell="A180" sqref="A180"/>
      <selection pane="topRight" activeCell="A180" sqref="A180"/>
      <selection pane="bottomLeft" activeCell="A180" sqref="A180"/>
      <selection pane="bottomRight" activeCell="E33" sqref="E33"/>
    </sheetView>
  </sheetViews>
  <sheetFormatPr defaultRowHeight="15" x14ac:dyDescent="0.25"/>
  <cols>
    <col min="1" max="1" width="55.42578125" bestFit="1" customWidth="1"/>
    <col min="2" max="2" width="9.140625" hidden="1" customWidth="1"/>
    <col min="3" max="3" width="11.7109375" hidden="1" customWidth="1"/>
    <col min="4" max="4" width="15.42578125" bestFit="1" customWidth="1"/>
    <col min="5" max="5" width="14.28515625" bestFit="1" customWidth="1"/>
    <col min="6" max="6" width="11.85546875" customWidth="1"/>
    <col min="7" max="7" width="4.42578125" hidden="1" customWidth="1"/>
    <col min="8" max="8" width="9.140625" hidden="1" customWidth="1"/>
    <col min="9" max="9" width="22.7109375" customWidth="1"/>
    <col min="10" max="10" width="14.5703125" customWidth="1"/>
    <col min="11" max="11" width="52.42578125" customWidth="1"/>
    <col min="12" max="15" width="0" hidden="1" customWidth="1"/>
  </cols>
  <sheetData>
    <row r="1" spans="1:18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'Viking Sq'!I1</f>
        <v>Projected Annual Budget 2017</v>
      </c>
      <c r="J1" s="125"/>
      <c r="K1" s="101" t="s">
        <v>528</v>
      </c>
      <c r="L1" s="104"/>
      <c r="M1" s="104"/>
      <c r="N1" s="104"/>
      <c r="O1" s="104"/>
      <c r="P1" s="104"/>
      <c r="Q1" s="104"/>
      <c r="R1" s="104"/>
    </row>
    <row r="2" spans="1:18" x14ac:dyDescent="0.25">
      <c r="A2" s="101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2" t="s">
        <v>529</v>
      </c>
      <c r="L2" s="104"/>
      <c r="M2" s="104"/>
      <c r="N2" s="104"/>
      <c r="O2" s="104"/>
      <c r="P2" s="104"/>
      <c r="Q2" s="104"/>
      <c r="R2" s="104"/>
    </row>
    <row r="3" spans="1:18" ht="21" thickBot="1" x14ac:dyDescent="0.35">
      <c r="A3" s="99" t="s">
        <v>522</v>
      </c>
      <c r="B3" s="104"/>
      <c r="C3" s="104"/>
      <c r="D3" s="109"/>
      <c r="E3" s="104"/>
      <c r="F3" s="104"/>
      <c r="G3" s="104"/>
      <c r="H3" s="104"/>
      <c r="I3" s="111"/>
      <c r="J3" s="95"/>
      <c r="K3" s="102" t="s">
        <v>530</v>
      </c>
      <c r="L3" s="104"/>
      <c r="M3" s="104"/>
      <c r="N3" s="104"/>
      <c r="O3" s="104"/>
      <c r="P3" s="104"/>
      <c r="Q3" s="104"/>
      <c r="R3" s="104"/>
    </row>
    <row r="4" spans="1:18" s="29" customFormat="1" ht="45.75" thickBot="1" x14ac:dyDescent="0.3">
      <c r="A4" s="230" t="s">
        <v>71</v>
      </c>
      <c r="B4" s="39" t="s">
        <v>72</v>
      </c>
      <c r="C4" s="39" t="s">
        <v>73</v>
      </c>
      <c r="D4" s="40" t="str">
        <f>'Viking Sq'!D4</f>
        <v>2016 Annual Budget</v>
      </c>
      <c r="E4" s="40" t="str">
        <f>'Viking Sq'!E4</f>
        <v>YTD Actual FY 2016 @ 9/30/16</v>
      </c>
      <c r="F4" s="40" t="str">
        <f>'Viking Sq'!F4</f>
        <v>FY 2016 - 9 month Avg</v>
      </c>
      <c r="G4" s="235"/>
      <c r="H4" s="172"/>
      <c r="I4" s="132" t="s">
        <v>427</v>
      </c>
      <c r="J4" s="43" t="s">
        <v>428</v>
      </c>
      <c r="K4" s="234" t="s">
        <v>646</v>
      </c>
      <c r="L4" s="41"/>
      <c r="M4" s="41"/>
      <c r="N4" s="107">
        <v>1.03</v>
      </c>
      <c r="O4" s="168"/>
      <c r="P4" s="168"/>
      <c r="Q4" s="168"/>
      <c r="R4" s="168"/>
    </row>
    <row r="5" spans="1:18" x14ac:dyDescent="0.25">
      <c r="A5" s="231" t="s">
        <v>33</v>
      </c>
      <c r="B5" s="44">
        <v>3</v>
      </c>
      <c r="C5" s="118">
        <v>-529501.75</v>
      </c>
      <c r="D5" s="46">
        <v>429000</v>
      </c>
      <c r="E5" s="46">
        <v>320265</v>
      </c>
      <c r="F5" s="46">
        <f>E5/9</f>
        <v>35585</v>
      </c>
      <c r="G5" s="46"/>
      <c r="H5" s="57">
        <v>0</v>
      </c>
      <c r="I5" s="135">
        <f>429000+15000</f>
        <v>444000</v>
      </c>
      <c r="J5" s="58">
        <f>I5/12</f>
        <v>37000</v>
      </c>
      <c r="K5" s="101" t="s">
        <v>645</v>
      </c>
      <c r="M5" s="104"/>
      <c r="N5" s="109" t="s">
        <v>74</v>
      </c>
      <c r="O5" s="104"/>
      <c r="P5" s="104"/>
      <c r="Q5" s="104"/>
      <c r="R5" s="104"/>
    </row>
    <row r="6" spans="1:18" x14ac:dyDescent="0.25">
      <c r="A6" s="231" t="s">
        <v>34</v>
      </c>
      <c r="B6" s="44">
        <v>3</v>
      </c>
      <c r="C6" s="118">
        <f>26538.3-5333</f>
        <v>21205.3</v>
      </c>
      <c r="D6" s="46">
        <v>-8580</v>
      </c>
      <c r="E6" s="46">
        <v>-2710</v>
      </c>
      <c r="F6" s="46">
        <f t="shared" ref="F6:F12" si="0">E6/9</f>
        <v>-301.11111111111109</v>
      </c>
      <c r="G6" s="46"/>
      <c r="H6" s="57">
        <f>D6*$N$7</f>
        <v>-257.39999999999998</v>
      </c>
      <c r="I6" s="135">
        <v>-8880</v>
      </c>
      <c r="J6" s="58">
        <f t="shared" ref="J6:J13" si="1">I6/12</f>
        <v>-740</v>
      </c>
      <c r="K6" s="101" t="s">
        <v>509</v>
      </c>
      <c r="L6" s="104"/>
      <c r="M6" s="104"/>
      <c r="N6" s="109" t="s">
        <v>392</v>
      </c>
      <c r="O6" s="104"/>
      <c r="P6" s="104"/>
      <c r="Q6" s="104"/>
      <c r="R6" s="104"/>
    </row>
    <row r="7" spans="1:18" x14ac:dyDescent="0.25">
      <c r="A7" s="231" t="s">
        <v>35</v>
      </c>
      <c r="B7" s="44">
        <v>3</v>
      </c>
      <c r="C7" s="118">
        <f>-36-1275</f>
        <v>-1311</v>
      </c>
      <c r="D7" s="46">
        <v>420</v>
      </c>
      <c r="E7" s="46">
        <f>233+5+38</f>
        <v>276</v>
      </c>
      <c r="F7" s="46">
        <f t="shared" si="0"/>
        <v>30.666666666666668</v>
      </c>
      <c r="G7" s="46"/>
      <c r="H7" s="57">
        <f>D7*$N$7</f>
        <v>12.6</v>
      </c>
      <c r="I7" s="135">
        <v>420</v>
      </c>
      <c r="J7" s="58">
        <f t="shared" si="1"/>
        <v>35</v>
      </c>
      <c r="K7" s="101"/>
      <c r="L7" s="104"/>
      <c r="M7" s="104"/>
      <c r="N7" s="152">
        <v>0.03</v>
      </c>
      <c r="O7" s="104"/>
      <c r="P7" s="104"/>
      <c r="Q7" s="104"/>
      <c r="R7" s="104"/>
    </row>
    <row r="8" spans="1:18" s="249" customFormat="1" x14ac:dyDescent="0.25">
      <c r="A8" s="231" t="s">
        <v>548</v>
      </c>
      <c r="B8" s="245"/>
      <c r="C8" s="246"/>
      <c r="D8" s="46">
        <v>48000</v>
      </c>
      <c r="E8" s="46">
        <v>31775</v>
      </c>
      <c r="F8" s="46">
        <f t="shared" si="0"/>
        <v>3530.5555555555557</v>
      </c>
      <c r="G8" s="247"/>
      <c r="H8" s="248"/>
      <c r="I8" s="135">
        <v>45540</v>
      </c>
      <c r="J8" s="58">
        <f t="shared" si="1"/>
        <v>3795</v>
      </c>
      <c r="K8" s="101" t="s">
        <v>549</v>
      </c>
    </row>
    <row r="9" spans="1:18" x14ac:dyDescent="0.25">
      <c r="A9" s="231" t="s">
        <v>37</v>
      </c>
      <c r="B9" s="44">
        <v>3</v>
      </c>
      <c r="C9" s="118">
        <v>-233</v>
      </c>
      <c r="D9" s="46">
        <v>130</v>
      </c>
      <c r="E9" s="46">
        <v>110</v>
      </c>
      <c r="F9" s="46">
        <f t="shared" si="0"/>
        <v>12.222222222222221</v>
      </c>
      <c r="G9" s="46"/>
      <c r="H9" s="57">
        <f>D9*$N$7</f>
        <v>3.9</v>
      </c>
      <c r="I9" s="135">
        <v>130</v>
      </c>
      <c r="J9" s="58">
        <f t="shared" si="1"/>
        <v>10.833333333333334</v>
      </c>
      <c r="K9" s="101"/>
      <c r="L9" s="104"/>
      <c r="M9" s="104"/>
      <c r="N9" s="104"/>
      <c r="O9" s="104"/>
      <c r="P9" s="104"/>
      <c r="Q9" s="104"/>
      <c r="R9" s="104"/>
    </row>
    <row r="10" spans="1:18" x14ac:dyDescent="0.25">
      <c r="A10" s="231" t="s">
        <v>455</v>
      </c>
      <c r="B10" s="44"/>
      <c r="C10" s="118"/>
      <c r="D10" s="46">
        <v>210</v>
      </c>
      <c r="E10" s="46">
        <v>0</v>
      </c>
      <c r="F10" s="46">
        <f t="shared" si="0"/>
        <v>0</v>
      </c>
      <c r="G10" s="46"/>
      <c r="H10" s="57"/>
      <c r="I10" s="135">
        <v>210</v>
      </c>
      <c r="J10" s="58">
        <f t="shared" si="1"/>
        <v>17.5</v>
      </c>
      <c r="K10" s="101"/>
      <c r="L10" s="104"/>
      <c r="M10" s="104"/>
      <c r="N10" s="104"/>
      <c r="O10" s="104"/>
      <c r="P10" s="104"/>
      <c r="Q10" s="104"/>
      <c r="R10" s="104"/>
    </row>
    <row r="11" spans="1:18" x14ac:dyDescent="0.25">
      <c r="A11" s="231" t="s">
        <v>295</v>
      </c>
      <c r="B11" s="44"/>
      <c r="C11" s="118"/>
      <c r="D11" s="46">
        <v>70</v>
      </c>
      <c r="E11" s="46">
        <v>0</v>
      </c>
      <c r="F11" s="46">
        <f t="shared" si="0"/>
        <v>0</v>
      </c>
      <c r="G11" s="46"/>
      <c r="H11" s="57"/>
      <c r="I11" s="135">
        <v>70</v>
      </c>
      <c r="J11" s="58">
        <f t="shared" si="1"/>
        <v>5.833333333333333</v>
      </c>
      <c r="K11" s="101"/>
      <c r="L11" s="104"/>
      <c r="M11" s="104"/>
      <c r="N11" s="104"/>
      <c r="O11" s="104"/>
      <c r="P11" s="104"/>
      <c r="Q11" s="104"/>
      <c r="R11" s="104"/>
    </row>
    <row r="12" spans="1:18" x14ac:dyDescent="0.25">
      <c r="A12" s="231" t="s">
        <v>208</v>
      </c>
      <c r="B12" s="44"/>
      <c r="C12" s="118"/>
      <c r="D12" s="46">
        <v>-7200</v>
      </c>
      <c r="E12" s="46">
        <v>-5400</v>
      </c>
      <c r="F12" s="46">
        <f t="shared" si="0"/>
        <v>-600</v>
      </c>
      <c r="G12" s="46"/>
      <c r="H12" s="57"/>
      <c r="I12" s="135">
        <v>-7200</v>
      </c>
      <c r="J12" s="58">
        <f t="shared" si="1"/>
        <v>-600</v>
      </c>
      <c r="K12" s="101" t="s">
        <v>534</v>
      </c>
      <c r="L12" s="104"/>
      <c r="M12" s="104"/>
      <c r="N12" s="104"/>
      <c r="O12" s="104"/>
      <c r="P12" s="104"/>
      <c r="Q12" s="104"/>
      <c r="R12" s="104"/>
    </row>
    <row r="13" spans="1:18" x14ac:dyDescent="0.25">
      <c r="A13" s="231" t="s">
        <v>284</v>
      </c>
      <c r="B13" s="44">
        <v>3</v>
      </c>
      <c r="C13" s="119">
        <f>-8292+2029</f>
        <v>-6263</v>
      </c>
      <c r="D13" s="53">
        <v>6850</v>
      </c>
      <c r="E13" s="53">
        <v>5980</v>
      </c>
      <c r="F13" s="53">
        <f>E13/9</f>
        <v>664.44444444444446</v>
      </c>
      <c r="G13" s="53"/>
      <c r="H13" s="137">
        <f>D13*$N$7</f>
        <v>205.5</v>
      </c>
      <c r="I13" s="138">
        <v>7070</v>
      </c>
      <c r="J13" s="139">
        <f t="shared" si="1"/>
        <v>589.16666666666663</v>
      </c>
      <c r="K13" s="101" t="s">
        <v>503</v>
      </c>
      <c r="L13" s="104"/>
      <c r="M13" s="104"/>
      <c r="N13" s="104"/>
      <c r="O13" s="104"/>
      <c r="P13" s="104"/>
      <c r="Q13" s="104"/>
      <c r="R13" s="104"/>
    </row>
    <row r="14" spans="1:18" x14ac:dyDescent="0.25">
      <c r="A14" s="232" t="s">
        <v>75</v>
      </c>
      <c r="B14" s="44"/>
      <c r="C14" s="45">
        <f>SUM(C4:C13)</f>
        <v>-516103.45</v>
      </c>
      <c r="D14" s="46">
        <f>SUM(D4:D13)</f>
        <v>468900</v>
      </c>
      <c r="E14" s="46">
        <f>SUM(E5:E13)</f>
        <v>350296</v>
      </c>
      <c r="F14" s="46">
        <f>SUM(F5:F13)</f>
        <v>38921.777777777774</v>
      </c>
      <c r="G14" s="46"/>
      <c r="H14" s="57">
        <f>SUM(H4:H13)</f>
        <v>-35.399999999999977</v>
      </c>
      <c r="I14" s="57">
        <f>SUM(I4:I13)</f>
        <v>481360</v>
      </c>
      <c r="J14" s="58">
        <f>SUM(J4:J13)</f>
        <v>40113.333333333336</v>
      </c>
      <c r="K14" s="101"/>
      <c r="L14" s="104"/>
      <c r="M14" s="104"/>
      <c r="N14" s="104"/>
      <c r="O14" s="104"/>
      <c r="P14" s="104"/>
      <c r="Q14" s="104"/>
      <c r="R14" s="104"/>
    </row>
    <row r="15" spans="1:18" x14ac:dyDescent="0.25">
      <c r="A15" s="231"/>
      <c r="B15" s="44"/>
      <c r="C15" s="45"/>
      <c r="D15" s="46"/>
      <c r="E15" s="46"/>
      <c r="F15" s="46"/>
      <c r="G15" s="46"/>
      <c r="H15" s="57"/>
      <c r="I15" s="57"/>
      <c r="J15" s="58"/>
      <c r="K15" s="104"/>
      <c r="L15" s="104"/>
      <c r="M15" s="104"/>
      <c r="N15" s="104"/>
      <c r="O15" s="104"/>
      <c r="P15" s="104"/>
      <c r="Q15" s="104"/>
      <c r="R15" s="104"/>
    </row>
    <row r="16" spans="1:18" x14ac:dyDescent="0.25">
      <c r="A16" s="231" t="s">
        <v>76</v>
      </c>
      <c r="B16" s="44"/>
      <c r="C16" s="45">
        <f>C47</f>
        <v>272406.05</v>
      </c>
      <c r="D16" s="46">
        <f>-D47</f>
        <v>-144430.264</v>
      </c>
      <c r="E16" s="46">
        <f>-E47</f>
        <v>-109486</v>
      </c>
      <c r="F16" s="46">
        <f>E16/9</f>
        <v>-12165.111111111111</v>
      </c>
      <c r="G16" s="46"/>
      <c r="H16" s="57">
        <f>H47</f>
        <v>4232.1079200000004</v>
      </c>
      <c r="I16" s="57">
        <f>-I47</f>
        <v>-130210</v>
      </c>
      <c r="J16" s="58">
        <f>-J47</f>
        <v>-10850.833333333332</v>
      </c>
      <c r="K16" s="104"/>
      <c r="L16" s="104"/>
      <c r="M16" s="104"/>
      <c r="N16" s="104"/>
      <c r="O16" s="104"/>
      <c r="P16" s="104"/>
      <c r="Q16" s="104"/>
      <c r="R16" s="104"/>
    </row>
    <row r="17" spans="1:18" x14ac:dyDescent="0.25">
      <c r="A17" s="231" t="s">
        <v>83</v>
      </c>
      <c r="B17" s="44"/>
      <c r="C17" s="45">
        <f>C54</f>
        <v>132359.13</v>
      </c>
      <c r="D17" s="46">
        <f>-D54</f>
        <v>-53309.997866666701</v>
      </c>
      <c r="E17" s="46">
        <f>-E54</f>
        <v>-37174</v>
      </c>
      <c r="F17" s="46">
        <f t="shared" ref="F17:F21" si="2">E17/9</f>
        <v>-4130.4444444444443</v>
      </c>
      <c r="G17" s="46"/>
      <c r="H17" s="57">
        <f>H54</f>
        <v>1818.9999360000011</v>
      </c>
      <c r="I17" s="57">
        <f>-I54</f>
        <v>-49970</v>
      </c>
      <c r="J17" s="58">
        <f>-J54</f>
        <v>-4164.166666666667</v>
      </c>
      <c r="K17" s="101"/>
      <c r="L17" s="104"/>
      <c r="M17" s="104"/>
      <c r="N17" s="104"/>
      <c r="O17" s="104"/>
      <c r="P17" s="104"/>
      <c r="Q17" s="104"/>
      <c r="R17" s="104"/>
    </row>
    <row r="18" spans="1:18" x14ac:dyDescent="0.25">
      <c r="A18" s="231" t="s">
        <v>88</v>
      </c>
      <c r="B18" s="44"/>
      <c r="C18" s="45">
        <f>C71</f>
        <v>279758.26</v>
      </c>
      <c r="D18" s="46">
        <f>-D71</f>
        <v>-114509.8</v>
      </c>
      <c r="E18" s="46">
        <f>-E71</f>
        <v>-76632</v>
      </c>
      <c r="F18" s="46">
        <f t="shared" si="2"/>
        <v>-8514.6666666666661</v>
      </c>
      <c r="G18" s="46"/>
      <c r="H18" s="173">
        <f>H71</f>
        <v>3183.6</v>
      </c>
      <c r="I18" s="57">
        <f>-I71</f>
        <v>-141320</v>
      </c>
      <c r="J18" s="58">
        <f>-J71</f>
        <v>-11776.666666666666</v>
      </c>
      <c r="K18" s="104"/>
      <c r="L18" s="104"/>
      <c r="M18" s="104"/>
      <c r="N18" s="104"/>
      <c r="O18" s="104"/>
      <c r="P18" s="104"/>
      <c r="Q18" s="104"/>
      <c r="R18" s="104"/>
    </row>
    <row r="19" spans="1:18" x14ac:dyDescent="0.25">
      <c r="A19" s="231" t="s">
        <v>77</v>
      </c>
      <c r="B19" s="44"/>
      <c r="C19" s="45">
        <f>C82</f>
        <v>330903.68999999994</v>
      </c>
      <c r="D19" s="46">
        <f>-D82</f>
        <v>-366790</v>
      </c>
      <c r="E19" s="46">
        <f>-E82</f>
        <v>-265632</v>
      </c>
      <c r="F19" s="46">
        <f t="shared" si="2"/>
        <v>-29514.666666666668</v>
      </c>
      <c r="G19" s="46"/>
      <c r="H19" s="57">
        <f>H82</f>
        <v>8026.1799999999994</v>
      </c>
      <c r="I19" s="57">
        <f>-I82</f>
        <v>-365470</v>
      </c>
      <c r="J19" s="58">
        <f>-J82</f>
        <v>-30455.833333333336</v>
      </c>
      <c r="K19" s="101"/>
      <c r="L19" s="104"/>
      <c r="M19" s="104"/>
      <c r="N19" s="104"/>
      <c r="O19" s="104"/>
      <c r="P19" s="104"/>
      <c r="Q19" s="104"/>
      <c r="R19" s="104"/>
    </row>
    <row r="20" spans="1:18" x14ac:dyDescent="0.25">
      <c r="A20" s="231" t="s">
        <v>296</v>
      </c>
      <c r="B20" s="44"/>
      <c r="C20" s="45">
        <f>C88</f>
        <v>452336.52</v>
      </c>
      <c r="D20" s="46">
        <f>-D88</f>
        <v>-23400</v>
      </c>
      <c r="E20" s="46">
        <f>-E88</f>
        <v>-22014</v>
      </c>
      <c r="F20" s="46">
        <f t="shared" si="2"/>
        <v>-2446</v>
      </c>
      <c r="G20" s="46"/>
      <c r="H20" s="57">
        <f>H88</f>
        <v>0</v>
      </c>
      <c r="I20" s="57">
        <f>-I88</f>
        <v>-26420</v>
      </c>
      <c r="J20" s="58">
        <f>-J88</f>
        <v>-2201.6666666666665</v>
      </c>
      <c r="K20" s="101"/>
      <c r="L20" s="104"/>
      <c r="M20" s="104"/>
      <c r="N20" s="104"/>
      <c r="O20" s="104"/>
      <c r="P20" s="104"/>
      <c r="Q20" s="104"/>
      <c r="R20" s="104"/>
    </row>
    <row r="21" spans="1:18" x14ac:dyDescent="0.25">
      <c r="A21" s="231" t="s">
        <v>78</v>
      </c>
      <c r="B21" s="44"/>
      <c r="C21" s="45">
        <f>C92</f>
        <v>35806.879999999997</v>
      </c>
      <c r="D21" s="46">
        <f>-D92</f>
        <v>-14070</v>
      </c>
      <c r="E21" s="46">
        <f>-E92</f>
        <v>-10557</v>
      </c>
      <c r="F21" s="46">
        <f t="shared" si="2"/>
        <v>-1173</v>
      </c>
      <c r="G21" s="46"/>
      <c r="H21" s="57">
        <f>H92</f>
        <v>0</v>
      </c>
      <c r="I21" s="57">
        <f>-I92</f>
        <v>-14490</v>
      </c>
      <c r="J21" s="58">
        <f>-J92</f>
        <v>-1207.5</v>
      </c>
      <c r="K21" s="106"/>
      <c r="L21" s="162"/>
      <c r="M21" s="104"/>
      <c r="N21" s="104"/>
      <c r="O21" s="104"/>
      <c r="P21" s="104"/>
      <c r="Q21" s="104"/>
      <c r="R21" s="104"/>
    </row>
    <row r="22" spans="1:18" x14ac:dyDescent="0.25">
      <c r="A22" s="231" t="s">
        <v>79</v>
      </c>
      <c r="B22" s="44"/>
      <c r="C22" s="52">
        <f>C105</f>
        <v>56347.270000000004</v>
      </c>
      <c r="D22" s="53">
        <f>-D105</f>
        <v>-10000</v>
      </c>
      <c r="E22" s="53">
        <f t="shared" ref="E22" si="3">E105</f>
        <v>0</v>
      </c>
      <c r="F22" s="53">
        <f>E22/9</f>
        <v>0</v>
      </c>
      <c r="G22" s="53"/>
      <c r="H22" s="137">
        <f>H105</f>
        <v>0</v>
      </c>
      <c r="I22" s="137">
        <f>-I105</f>
        <v>-14200</v>
      </c>
      <c r="J22" s="139">
        <f>-J105</f>
        <v>-1183.3333333333335</v>
      </c>
      <c r="K22" s="106"/>
      <c r="L22" s="104"/>
      <c r="M22" s="104"/>
      <c r="N22" s="104"/>
      <c r="O22" s="104"/>
      <c r="P22" s="104"/>
      <c r="Q22" s="104"/>
      <c r="R22" s="104"/>
    </row>
    <row r="23" spans="1:18" x14ac:dyDescent="0.25">
      <c r="A23" s="231" t="s">
        <v>80</v>
      </c>
      <c r="B23" s="44"/>
      <c r="C23" s="140">
        <f>SUM(C16:C22)</f>
        <v>1559917.7999999998</v>
      </c>
      <c r="D23" s="141">
        <f>SUM(D16:D22)</f>
        <v>-726510.06186666666</v>
      </c>
      <c r="E23" s="141">
        <f>SUM(E16:E22)</f>
        <v>-521495</v>
      </c>
      <c r="F23" s="141">
        <f>SUM(F16:F22)</f>
        <v>-57943.888888888891</v>
      </c>
      <c r="G23" s="53"/>
      <c r="H23" s="137">
        <f>SUM(H16:H22)</f>
        <v>17260.887856000001</v>
      </c>
      <c r="I23" s="163">
        <f>SUM(I16:I22)</f>
        <v>-742080</v>
      </c>
      <c r="J23" s="164">
        <f>SUM(J16:J22)</f>
        <v>-61840</v>
      </c>
      <c r="K23" s="106"/>
      <c r="L23" s="104"/>
      <c r="M23" s="104"/>
      <c r="N23" s="104"/>
      <c r="O23" s="104"/>
      <c r="P23" s="104"/>
      <c r="Q23" s="104"/>
      <c r="R23" s="104"/>
    </row>
    <row r="24" spans="1:18" ht="15.75" thickBot="1" x14ac:dyDescent="0.3">
      <c r="A24" s="231"/>
      <c r="B24" s="44"/>
      <c r="C24" s="45"/>
      <c r="D24" s="46"/>
      <c r="E24" s="46"/>
      <c r="F24" s="46"/>
      <c r="G24" s="46"/>
      <c r="H24" s="57"/>
      <c r="I24" s="57"/>
      <c r="J24" s="58"/>
      <c r="K24" s="106"/>
      <c r="L24" s="104"/>
      <c r="M24" s="104"/>
      <c r="N24" s="104"/>
      <c r="O24" s="104"/>
      <c r="P24" s="104"/>
      <c r="Q24" s="104"/>
      <c r="R24" s="104"/>
    </row>
    <row r="25" spans="1:18" ht="15.75" thickBot="1" x14ac:dyDescent="0.3">
      <c r="A25" s="260" t="s">
        <v>550</v>
      </c>
      <c r="B25" s="261"/>
      <c r="C25" s="262">
        <f>SUM(-C14-C23)</f>
        <v>-1043814.3499999999</v>
      </c>
      <c r="D25" s="263">
        <f>SUM(D14+D23)+D81</f>
        <v>15699.938133333344</v>
      </c>
      <c r="E25" s="263">
        <f>SUM(E14+E23)+E81</f>
        <v>35324</v>
      </c>
      <c r="F25" s="263">
        <f>SUM(F14+F23)+F81</f>
        <v>3924.8888888888832</v>
      </c>
      <c r="G25" s="263">
        <f>SUM(G14+G23)-G81</f>
        <v>0</v>
      </c>
      <c r="H25" s="263">
        <f>SUM(H14+H23)-H81</f>
        <v>17225.487856</v>
      </c>
      <c r="I25" s="263">
        <f>SUM(I14+I23)+I81</f>
        <v>14640</v>
      </c>
      <c r="J25" s="264">
        <f>SUM(J14+J23)+J81</f>
        <v>1220.0000000000036</v>
      </c>
      <c r="K25" s="106"/>
      <c r="L25" s="104"/>
      <c r="M25" s="104"/>
      <c r="N25" s="104"/>
      <c r="O25" s="104"/>
      <c r="P25" s="104"/>
      <c r="Q25" s="104"/>
      <c r="R25" s="104"/>
    </row>
    <row r="26" spans="1:18" x14ac:dyDescent="0.25">
      <c r="A26" s="232" t="s">
        <v>449</v>
      </c>
      <c r="B26" s="44"/>
      <c r="C26" s="45"/>
      <c r="D26" s="46"/>
      <c r="E26" s="46"/>
      <c r="F26" s="46"/>
      <c r="G26" s="46"/>
      <c r="H26" s="57"/>
      <c r="I26" s="57"/>
      <c r="J26" s="58"/>
      <c r="K26" s="106"/>
      <c r="L26" s="104"/>
      <c r="M26" s="104"/>
      <c r="N26" s="104"/>
      <c r="O26" s="104"/>
      <c r="P26" s="104"/>
      <c r="Q26" s="104"/>
      <c r="R26" s="104"/>
    </row>
    <row r="27" spans="1:18" x14ac:dyDescent="0.25">
      <c r="A27" s="231" t="s">
        <v>38</v>
      </c>
      <c r="B27" s="63">
        <v>3</v>
      </c>
      <c r="C27" s="45">
        <f>SUM('[2]2014'!C9:E9)+18</f>
        <v>-29524.57</v>
      </c>
      <c r="D27" s="243">
        <v>150</v>
      </c>
      <c r="E27" s="241">
        <v>0</v>
      </c>
      <c r="F27" s="241">
        <f>E27/9</f>
        <v>0</v>
      </c>
      <c r="G27" s="241"/>
      <c r="H27" s="243">
        <v>0</v>
      </c>
      <c r="I27" s="243">
        <v>150</v>
      </c>
      <c r="J27" s="244">
        <f t="shared" ref="J27:J96" si="4">I27/12</f>
        <v>12.5</v>
      </c>
      <c r="K27" s="106"/>
      <c r="L27" s="104">
        <f t="shared" ref="L27:L29" si="5">SUM(E27)+(F27*3)*1.03</f>
        <v>0</v>
      </c>
      <c r="M27" s="104"/>
      <c r="N27" s="104"/>
      <c r="O27" s="104"/>
      <c r="P27" s="104"/>
      <c r="Q27" s="104"/>
      <c r="R27" s="104"/>
    </row>
    <row r="28" spans="1:18" x14ac:dyDescent="0.25">
      <c r="A28" s="231" t="s">
        <v>40</v>
      </c>
      <c r="B28" s="44">
        <v>3</v>
      </c>
      <c r="C28" s="118">
        <f>10588.22-103</f>
        <v>10485.219999999999</v>
      </c>
      <c r="D28" s="243">
        <v>2530.0370666666668</v>
      </c>
      <c r="E28" s="241">
        <v>1082</v>
      </c>
      <c r="F28" s="241">
        <f t="shared" ref="F28:F45" si="6">E28/9</f>
        <v>120.22222222222223</v>
      </c>
      <c r="G28" s="241"/>
      <c r="H28" s="243">
        <f t="shared" ref="H28:H33" si="7">D28*$N$7</f>
        <v>75.901111999999998</v>
      </c>
      <c r="I28" s="243">
        <v>1450</v>
      </c>
      <c r="J28" s="244">
        <f t="shared" si="4"/>
        <v>120.83333333333333</v>
      </c>
      <c r="L28" s="104">
        <f t="shared" si="5"/>
        <v>1453.4866666666667</v>
      </c>
      <c r="M28" s="104"/>
      <c r="N28" s="104">
        <f>E28*N4</f>
        <v>1114.46</v>
      </c>
      <c r="O28" s="104"/>
      <c r="P28" s="104"/>
      <c r="Q28" s="104"/>
      <c r="R28" s="104"/>
    </row>
    <row r="29" spans="1:18" x14ac:dyDescent="0.25">
      <c r="A29" s="231" t="s">
        <v>41</v>
      </c>
      <c r="B29" s="44">
        <v>3</v>
      </c>
      <c r="C29" s="118">
        <f>6773-1</f>
        <v>6772</v>
      </c>
      <c r="D29" s="243">
        <v>220</v>
      </c>
      <c r="E29" s="241">
        <v>134</v>
      </c>
      <c r="F29" s="241">
        <f t="shared" si="6"/>
        <v>14.888888888888889</v>
      </c>
      <c r="G29" s="241"/>
      <c r="H29" s="243">
        <f t="shared" si="7"/>
        <v>6.6</v>
      </c>
      <c r="I29" s="243">
        <v>180</v>
      </c>
      <c r="J29" s="244">
        <f>I29/12</f>
        <v>15</v>
      </c>
      <c r="L29" s="104">
        <f t="shared" si="5"/>
        <v>180.00666666666666</v>
      </c>
      <c r="M29" s="104"/>
      <c r="N29" s="104"/>
      <c r="O29" s="104"/>
      <c r="P29" s="104"/>
      <c r="Q29" s="104"/>
      <c r="R29" s="104"/>
    </row>
    <row r="30" spans="1:18" x14ac:dyDescent="0.25">
      <c r="A30" s="231" t="s">
        <v>317</v>
      </c>
      <c r="B30" s="44">
        <v>3</v>
      </c>
      <c r="C30" s="118">
        <v>815</v>
      </c>
      <c r="D30" s="243">
        <v>760</v>
      </c>
      <c r="E30" s="241">
        <v>569</v>
      </c>
      <c r="F30" s="241">
        <f t="shared" si="6"/>
        <v>63.222222222222221</v>
      </c>
      <c r="G30" s="241"/>
      <c r="H30" s="243">
        <f t="shared" si="7"/>
        <v>22.8</v>
      </c>
      <c r="I30" s="243">
        <v>760</v>
      </c>
      <c r="J30" s="244">
        <f t="shared" si="4"/>
        <v>63.333333333333336</v>
      </c>
      <c r="L30" s="104">
        <f>SUM(E30)+(F30*3)*1.03</f>
        <v>764.35666666666668</v>
      </c>
      <c r="M30" s="104"/>
      <c r="N30" s="158">
        <f>N28+D28</f>
        <v>3644.4970666666668</v>
      </c>
      <c r="O30" s="104"/>
      <c r="P30" s="104"/>
      <c r="Q30" s="104"/>
      <c r="R30" s="104"/>
    </row>
    <row r="31" spans="1:18" x14ac:dyDescent="0.25">
      <c r="A31" s="231" t="s">
        <v>498</v>
      </c>
      <c r="B31" s="44"/>
      <c r="C31" s="118"/>
      <c r="D31" s="243">
        <v>90</v>
      </c>
      <c r="E31" s="241">
        <v>164</v>
      </c>
      <c r="F31" s="241">
        <f t="shared" si="6"/>
        <v>18.222222222222221</v>
      </c>
      <c r="G31" s="241"/>
      <c r="H31" s="243">
        <f t="shared" si="7"/>
        <v>2.6999999999999997</v>
      </c>
      <c r="I31" s="243">
        <v>220</v>
      </c>
      <c r="J31" s="244">
        <f t="shared" si="4"/>
        <v>18.333333333333332</v>
      </c>
      <c r="L31" s="104">
        <f>SUM(E31)+(F31*3)*1.03</f>
        <v>220.30666666666667</v>
      </c>
      <c r="M31" s="104"/>
      <c r="N31" s="104"/>
      <c r="O31" s="104"/>
      <c r="P31" s="104"/>
      <c r="Q31" s="104"/>
      <c r="R31" s="104"/>
    </row>
    <row r="32" spans="1:18" x14ac:dyDescent="0.25">
      <c r="A32" s="231" t="s">
        <v>327</v>
      </c>
      <c r="B32" s="44">
        <v>3</v>
      </c>
      <c r="C32" s="118">
        <v>87</v>
      </c>
      <c r="D32" s="243">
        <v>420</v>
      </c>
      <c r="E32" s="241">
        <v>124</v>
      </c>
      <c r="F32" s="241">
        <f t="shared" si="6"/>
        <v>13.777777777777779</v>
      </c>
      <c r="G32" s="241"/>
      <c r="H32" s="243">
        <f t="shared" si="7"/>
        <v>12.6</v>
      </c>
      <c r="I32" s="243">
        <v>170</v>
      </c>
      <c r="J32" s="244">
        <f t="shared" si="4"/>
        <v>14.166666666666666</v>
      </c>
      <c r="K32" s="104"/>
      <c r="L32" s="104">
        <f t="shared" ref="L32" si="8">SUM(E32)+(F32*3)*1.03</f>
        <v>166.57333333333332</v>
      </c>
      <c r="M32" s="104"/>
      <c r="N32" s="104"/>
      <c r="O32" s="104"/>
      <c r="P32" s="104"/>
      <c r="Q32" s="104"/>
      <c r="R32" s="104"/>
    </row>
    <row r="33" spans="1:18" x14ac:dyDescent="0.25">
      <c r="A33" s="231" t="s">
        <v>269</v>
      </c>
      <c r="B33" s="44">
        <v>3</v>
      </c>
      <c r="C33" s="118">
        <f>71690.25+3053</f>
        <v>74743.25</v>
      </c>
      <c r="D33" s="243">
        <v>25080</v>
      </c>
      <c r="E33" s="241">
        <v>18299</v>
      </c>
      <c r="F33" s="241">
        <f t="shared" si="6"/>
        <v>2033.2222222222222</v>
      </c>
      <c r="G33" s="241"/>
      <c r="H33" s="243">
        <f t="shared" si="7"/>
        <v>752.4</v>
      </c>
      <c r="I33" s="243">
        <v>24650</v>
      </c>
      <c r="J33" s="244">
        <f t="shared" si="4"/>
        <v>2054.1666666666665</v>
      </c>
      <c r="K33" s="101" t="s">
        <v>535</v>
      </c>
      <c r="L33" s="104">
        <f>-SUM(I5+I6+I7+I9+I10+I11+I12)*5.75</f>
        <v>-2465312.5</v>
      </c>
      <c r="M33" s="104"/>
      <c r="N33" s="104"/>
      <c r="O33" s="104"/>
      <c r="P33" s="104"/>
      <c r="Q33" s="104"/>
      <c r="R33" s="104"/>
    </row>
    <row r="34" spans="1:18" x14ac:dyDescent="0.25">
      <c r="A34" s="231" t="s">
        <v>481</v>
      </c>
      <c r="B34" s="44"/>
      <c r="C34" s="118"/>
      <c r="D34" s="243">
        <v>2400</v>
      </c>
      <c r="E34" s="241">
        <v>2400</v>
      </c>
      <c r="F34" s="241">
        <f t="shared" si="6"/>
        <v>266.66666666666669</v>
      </c>
      <c r="G34" s="241"/>
      <c r="H34" s="243"/>
      <c r="I34" s="243">
        <v>2400</v>
      </c>
      <c r="J34" s="244">
        <f t="shared" si="4"/>
        <v>200</v>
      </c>
      <c r="K34" s="101" t="s">
        <v>532</v>
      </c>
      <c r="L34" s="104"/>
      <c r="M34" s="104"/>
      <c r="N34" s="104"/>
      <c r="O34" s="104"/>
      <c r="P34" s="104"/>
      <c r="Q34" s="104"/>
      <c r="R34" s="104"/>
    </row>
    <row r="35" spans="1:18" x14ac:dyDescent="0.25">
      <c r="A35" s="231" t="s">
        <v>482</v>
      </c>
      <c r="B35" s="44"/>
      <c r="C35" s="118"/>
      <c r="D35" s="243">
        <v>33760</v>
      </c>
      <c r="E35" s="241">
        <v>33765</v>
      </c>
      <c r="F35" s="241">
        <f t="shared" si="6"/>
        <v>3751.6666666666665</v>
      </c>
      <c r="G35" s="241"/>
      <c r="H35" s="243">
        <f>D35*$N$7</f>
        <v>1012.8</v>
      </c>
      <c r="I35" s="243">
        <v>34770</v>
      </c>
      <c r="J35" s="244">
        <f t="shared" si="4"/>
        <v>2897.5</v>
      </c>
      <c r="K35" s="101" t="s">
        <v>532</v>
      </c>
      <c r="L35" s="104"/>
      <c r="M35" s="104"/>
      <c r="N35" s="104"/>
      <c r="O35" s="104"/>
      <c r="P35" s="104"/>
      <c r="Q35" s="104"/>
      <c r="R35" s="104"/>
    </row>
    <row r="36" spans="1:18" x14ac:dyDescent="0.25">
      <c r="A36" s="231" t="s">
        <v>483</v>
      </c>
      <c r="B36" s="44"/>
      <c r="C36" s="118"/>
      <c r="D36" s="243">
        <v>5630</v>
      </c>
      <c r="E36" s="241">
        <v>5628</v>
      </c>
      <c r="F36" s="241">
        <f t="shared" si="6"/>
        <v>625.33333333333337</v>
      </c>
      <c r="G36" s="241"/>
      <c r="H36" s="243">
        <f>D36*$N$7</f>
        <v>168.9</v>
      </c>
      <c r="I36" s="243">
        <v>5800</v>
      </c>
      <c r="J36" s="244">
        <f t="shared" si="4"/>
        <v>483.33333333333331</v>
      </c>
      <c r="K36" s="101" t="s">
        <v>532</v>
      </c>
      <c r="L36" s="104"/>
      <c r="M36" s="104"/>
      <c r="N36" s="104"/>
      <c r="O36" s="104"/>
      <c r="P36" s="104"/>
      <c r="Q36" s="104"/>
      <c r="R36" s="104"/>
    </row>
    <row r="37" spans="1:18" x14ac:dyDescent="0.25">
      <c r="A37" s="231" t="s">
        <v>359</v>
      </c>
      <c r="B37" s="44"/>
      <c r="C37" s="118"/>
      <c r="D37" s="243">
        <v>4220</v>
      </c>
      <c r="E37" s="241">
        <v>3173</v>
      </c>
      <c r="F37" s="241">
        <f t="shared" si="6"/>
        <v>352.55555555555554</v>
      </c>
      <c r="G37" s="241"/>
      <c r="H37" s="243">
        <f>D37*$N$7</f>
        <v>126.6</v>
      </c>
      <c r="I37" s="243">
        <v>4260</v>
      </c>
      <c r="J37" s="244">
        <f t="shared" si="4"/>
        <v>355</v>
      </c>
      <c r="K37" s="104"/>
      <c r="L37" s="104">
        <f t="shared" ref="L37:L46" si="9">SUM(E37)+(F37*3)*1.03</f>
        <v>4262.3966666666665</v>
      </c>
      <c r="M37" s="104"/>
      <c r="N37" s="104"/>
      <c r="O37" s="104"/>
      <c r="P37" s="104"/>
      <c r="Q37" s="104"/>
      <c r="R37" s="104"/>
    </row>
    <row r="38" spans="1:18" x14ac:dyDescent="0.25">
      <c r="A38" s="231" t="s">
        <v>299</v>
      </c>
      <c r="B38" s="44">
        <v>3</v>
      </c>
      <c r="C38" s="118">
        <f>86765.11+45177</f>
        <v>131942.10999999999</v>
      </c>
      <c r="D38" s="243">
        <v>44790</v>
      </c>
      <c r="E38" s="241">
        <v>29888</v>
      </c>
      <c r="F38" s="241">
        <f t="shared" si="6"/>
        <v>3320.8888888888887</v>
      </c>
      <c r="G38" s="241"/>
      <c r="H38" s="243">
        <f>D38*$N$7</f>
        <v>1343.7</v>
      </c>
      <c r="I38" s="243">
        <v>35770</v>
      </c>
      <c r="J38" s="244">
        <f t="shared" si="4"/>
        <v>2980.8333333333335</v>
      </c>
      <c r="K38" s="104"/>
      <c r="L38" s="104">
        <f>SUM(E38)+(F38*3)*1.03</f>
        <v>40149.546666666669</v>
      </c>
      <c r="M38" s="104"/>
      <c r="N38" s="104"/>
      <c r="O38" s="104"/>
      <c r="P38" s="104"/>
      <c r="Q38" s="104"/>
      <c r="R38" s="104"/>
    </row>
    <row r="39" spans="1:18" x14ac:dyDescent="0.25">
      <c r="A39" s="231" t="s">
        <v>244</v>
      </c>
      <c r="B39" s="44"/>
      <c r="C39" s="118"/>
      <c r="D39" s="243">
        <v>810</v>
      </c>
      <c r="E39" s="241">
        <v>0</v>
      </c>
      <c r="F39" s="241">
        <f t="shared" si="6"/>
        <v>0</v>
      </c>
      <c r="G39" s="241"/>
      <c r="H39" s="243">
        <v>0</v>
      </c>
      <c r="I39" s="243">
        <v>500</v>
      </c>
      <c r="J39" s="244">
        <f t="shared" si="4"/>
        <v>41.666666666666664</v>
      </c>
      <c r="K39" s="104"/>
      <c r="L39" s="104">
        <f t="shared" si="9"/>
        <v>0</v>
      </c>
      <c r="M39" s="104"/>
      <c r="N39" s="104"/>
      <c r="O39" s="104"/>
      <c r="P39" s="104"/>
      <c r="Q39" s="104"/>
      <c r="R39" s="104"/>
    </row>
    <row r="40" spans="1:18" x14ac:dyDescent="0.25">
      <c r="A40" s="231" t="s">
        <v>360</v>
      </c>
      <c r="B40" s="44">
        <v>3</v>
      </c>
      <c r="C40" s="118">
        <f>4247.25-1013</f>
        <v>3234.25</v>
      </c>
      <c r="D40" s="243">
        <v>12360</v>
      </c>
      <c r="E40" s="241">
        <v>6500</v>
      </c>
      <c r="F40" s="241">
        <f t="shared" si="6"/>
        <v>722.22222222222217</v>
      </c>
      <c r="G40" s="241"/>
      <c r="H40" s="243">
        <f t="shared" ref="H40:H46" si="10">D40*$N$7</f>
        <v>370.8</v>
      </c>
      <c r="I40" s="243">
        <v>8730</v>
      </c>
      <c r="J40" s="244">
        <f t="shared" si="4"/>
        <v>727.5</v>
      </c>
      <c r="K40" s="104"/>
      <c r="L40" s="104">
        <f t="shared" si="9"/>
        <v>8731.6666666666661</v>
      </c>
      <c r="M40" s="104"/>
      <c r="N40" s="104"/>
      <c r="O40" s="104"/>
      <c r="P40" s="104"/>
      <c r="Q40" s="104"/>
      <c r="R40" s="104"/>
    </row>
    <row r="41" spans="1:18" x14ac:dyDescent="0.25">
      <c r="A41" s="231" t="s">
        <v>372</v>
      </c>
      <c r="B41" s="44">
        <v>3</v>
      </c>
      <c r="C41" s="118">
        <f>13284.5+667</f>
        <v>13951.5</v>
      </c>
      <c r="D41" s="243">
        <v>5190</v>
      </c>
      <c r="E41" s="241">
        <v>4082</v>
      </c>
      <c r="F41" s="241">
        <f t="shared" si="6"/>
        <v>453.55555555555554</v>
      </c>
      <c r="G41" s="241"/>
      <c r="H41" s="243">
        <f t="shared" si="10"/>
        <v>155.69999999999999</v>
      </c>
      <c r="I41" s="243">
        <v>5480</v>
      </c>
      <c r="J41" s="244">
        <f t="shared" si="4"/>
        <v>456.66666666666669</v>
      </c>
      <c r="K41" s="104"/>
      <c r="L41" s="104">
        <f t="shared" si="9"/>
        <v>5483.4866666666667</v>
      </c>
      <c r="M41" s="104"/>
      <c r="N41" s="104"/>
      <c r="O41" s="104"/>
      <c r="P41" s="104"/>
      <c r="Q41" s="104"/>
      <c r="R41" s="104"/>
    </row>
    <row r="42" spans="1:18" x14ac:dyDescent="0.25">
      <c r="A42" s="231" t="s">
        <v>331</v>
      </c>
      <c r="B42" s="44">
        <v>3</v>
      </c>
      <c r="C42" s="118">
        <f>1713.84+907</f>
        <v>2620.84</v>
      </c>
      <c r="D42" s="243">
        <v>1640.2269333333334</v>
      </c>
      <c r="E42" s="241">
        <v>1143</v>
      </c>
      <c r="F42" s="241">
        <f t="shared" si="6"/>
        <v>127</v>
      </c>
      <c r="G42" s="241"/>
      <c r="H42" s="243">
        <f t="shared" si="10"/>
        <v>49.206808000000002</v>
      </c>
      <c r="I42" s="243">
        <v>1530</v>
      </c>
      <c r="J42" s="244">
        <f t="shared" si="4"/>
        <v>127.5</v>
      </c>
      <c r="K42" s="104"/>
      <c r="L42" s="104">
        <f t="shared" si="9"/>
        <v>1535.43</v>
      </c>
      <c r="M42" s="104"/>
      <c r="N42" s="104"/>
      <c r="O42" s="104"/>
      <c r="P42" s="104"/>
      <c r="Q42" s="104"/>
      <c r="R42" s="104"/>
    </row>
    <row r="43" spans="1:18" x14ac:dyDescent="0.25">
      <c r="A43" s="231" t="s">
        <v>531</v>
      </c>
      <c r="B43" s="44">
        <v>3</v>
      </c>
      <c r="C43" s="118">
        <f>6528.88+227</f>
        <v>6755.88</v>
      </c>
      <c r="D43" s="243">
        <v>1240</v>
      </c>
      <c r="E43" s="241">
        <v>263</v>
      </c>
      <c r="F43" s="241">
        <f t="shared" si="6"/>
        <v>29.222222222222221</v>
      </c>
      <c r="G43" s="241"/>
      <c r="H43" s="243">
        <f t="shared" si="10"/>
        <v>37.199999999999996</v>
      </c>
      <c r="I43" s="243">
        <v>350</v>
      </c>
      <c r="J43" s="244">
        <f t="shared" si="4"/>
        <v>29.166666666666668</v>
      </c>
      <c r="K43" s="101" t="s">
        <v>499</v>
      </c>
      <c r="L43" s="104">
        <f t="shared" si="9"/>
        <v>353.29666666666662</v>
      </c>
      <c r="M43" s="104"/>
      <c r="N43" s="104"/>
      <c r="O43" s="104"/>
      <c r="P43" s="104"/>
      <c r="Q43" s="104"/>
      <c r="R43" s="104"/>
    </row>
    <row r="44" spans="1:18" x14ac:dyDescent="0.25">
      <c r="A44" s="231" t="s">
        <v>373</v>
      </c>
      <c r="B44" s="44">
        <v>3</v>
      </c>
      <c r="C44" s="118">
        <f>14709.67-4399</f>
        <v>10310.67</v>
      </c>
      <c r="D44" s="243">
        <v>1110</v>
      </c>
      <c r="E44" s="241">
        <v>679</v>
      </c>
      <c r="F44" s="241">
        <f t="shared" si="6"/>
        <v>75.444444444444443</v>
      </c>
      <c r="G44" s="241"/>
      <c r="H44" s="243">
        <f t="shared" si="10"/>
        <v>33.299999999999997</v>
      </c>
      <c r="I44" s="243">
        <v>910</v>
      </c>
      <c r="J44" s="244">
        <f t="shared" si="4"/>
        <v>75.833333333333329</v>
      </c>
      <c r="K44" s="104"/>
      <c r="L44" s="104">
        <f t="shared" si="9"/>
        <v>912.12333333333333</v>
      </c>
      <c r="M44" s="104"/>
      <c r="N44" s="104"/>
      <c r="O44" s="104"/>
      <c r="P44" s="104"/>
      <c r="Q44" s="104"/>
      <c r="R44" s="104"/>
    </row>
    <row r="45" spans="1:18" x14ac:dyDescent="0.25">
      <c r="A45" s="231" t="s">
        <v>219</v>
      </c>
      <c r="B45" s="44">
        <v>3</v>
      </c>
      <c r="C45" s="118">
        <f>2291.73+4203</f>
        <v>6494.73</v>
      </c>
      <c r="D45" s="243">
        <v>1320</v>
      </c>
      <c r="E45" s="241">
        <v>1024</v>
      </c>
      <c r="F45" s="241">
        <f t="shared" si="6"/>
        <v>113.77777777777777</v>
      </c>
      <c r="G45" s="241"/>
      <c r="H45" s="243">
        <f t="shared" si="10"/>
        <v>39.6</v>
      </c>
      <c r="I45" s="243">
        <v>1370</v>
      </c>
      <c r="J45" s="244">
        <f t="shared" si="4"/>
        <v>114.16666666666667</v>
      </c>
      <c r="K45" s="101"/>
      <c r="L45" s="104">
        <f t="shared" si="9"/>
        <v>1375.5733333333333</v>
      </c>
      <c r="M45" s="104"/>
      <c r="N45" s="104"/>
      <c r="O45" s="104"/>
      <c r="P45" s="104"/>
      <c r="Q45" s="104"/>
      <c r="R45" s="104"/>
    </row>
    <row r="46" spans="1:18" x14ac:dyDescent="0.25">
      <c r="A46" s="231" t="s">
        <v>272</v>
      </c>
      <c r="B46" s="44">
        <v>3</v>
      </c>
      <c r="C46" s="119">
        <f>4190.6+3</f>
        <v>4193.6000000000004</v>
      </c>
      <c r="D46" s="252">
        <v>710</v>
      </c>
      <c r="E46" s="253">
        <v>569</v>
      </c>
      <c r="F46" s="253">
        <f>E46/9</f>
        <v>63.222222222222221</v>
      </c>
      <c r="G46" s="253"/>
      <c r="H46" s="252">
        <f t="shared" si="10"/>
        <v>21.3</v>
      </c>
      <c r="I46" s="252">
        <v>760</v>
      </c>
      <c r="J46" s="254">
        <f t="shared" si="4"/>
        <v>63.333333333333336</v>
      </c>
      <c r="K46" s="104"/>
      <c r="L46" s="104">
        <f t="shared" si="9"/>
        <v>764.35666666666668</v>
      </c>
      <c r="M46" s="104"/>
      <c r="N46" s="104"/>
      <c r="O46" s="104"/>
      <c r="P46" s="104"/>
      <c r="Q46" s="104"/>
      <c r="R46" s="104"/>
    </row>
    <row r="47" spans="1:18" x14ac:dyDescent="0.25">
      <c r="A47" s="232" t="s">
        <v>81</v>
      </c>
      <c r="B47" s="44"/>
      <c r="C47" s="45">
        <f>SUM(C28:C46)</f>
        <v>272406.05</v>
      </c>
      <c r="D47" s="46">
        <f>SUM(D27:D46)</f>
        <v>144430.264</v>
      </c>
      <c r="E47" s="46">
        <f>SUM(E27:E46)</f>
        <v>109486</v>
      </c>
      <c r="F47" s="46">
        <f>SUM(F27:F46)</f>
        <v>12165.111111111111</v>
      </c>
      <c r="G47" s="251"/>
      <c r="H47" s="250">
        <f>SUM(H27:H46)</f>
        <v>4232.1079200000004</v>
      </c>
      <c r="I47" s="57">
        <f>SUM(I27:I46)</f>
        <v>130210</v>
      </c>
      <c r="J47" s="58">
        <f>SUM(J27:J46)</f>
        <v>10850.833333333332</v>
      </c>
      <c r="K47" s="104"/>
      <c r="L47" s="104"/>
      <c r="M47" s="104"/>
      <c r="N47" s="104"/>
      <c r="O47" s="104"/>
      <c r="P47" s="104"/>
      <c r="Q47" s="104"/>
      <c r="R47" s="104"/>
    </row>
    <row r="48" spans="1:18" ht="9.75" customHeight="1" x14ac:dyDescent="0.25">
      <c r="A48" s="231"/>
      <c r="B48" s="44"/>
      <c r="C48" s="45"/>
      <c r="D48" s="45"/>
      <c r="E48" s="45"/>
      <c r="F48" s="45"/>
      <c r="G48" s="45"/>
      <c r="H48" s="115"/>
      <c r="I48" s="115"/>
      <c r="J48" s="116"/>
      <c r="K48" s="104"/>
      <c r="L48" s="104"/>
      <c r="M48" s="104"/>
      <c r="N48" s="104"/>
      <c r="O48" s="104"/>
      <c r="P48" s="104"/>
      <c r="Q48" s="104"/>
      <c r="R48" s="104"/>
    </row>
    <row r="49" spans="1:18" x14ac:dyDescent="0.25">
      <c r="A49" s="232" t="s">
        <v>450</v>
      </c>
      <c r="B49" s="44"/>
      <c r="C49" s="45"/>
      <c r="D49" s="45"/>
      <c r="E49" s="45"/>
      <c r="F49" s="45"/>
      <c r="G49" s="45"/>
      <c r="H49" s="115"/>
      <c r="I49" s="115"/>
      <c r="J49" s="116"/>
      <c r="K49" s="104"/>
      <c r="L49" s="104"/>
      <c r="M49" s="104"/>
      <c r="N49" s="104"/>
      <c r="O49" s="104"/>
      <c r="P49" s="104"/>
      <c r="Q49" s="104"/>
      <c r="R49" s="104"/>
    </row>
    <row r="50" spans="1:18" x14ac:dyDescent="0.25">
      <c r="A50" s="231" t="s">
        <v>220</v>
      </c>
      <c r="B50" s="44">
        <v>3</v>
      </c>
      <c r="C50" s="118">
        <f>56950.41+3891</f>
        <v>60841.41</v>
      </c>
      <c r="D50" s="57">
        <v>31339.997866666701</v>
      </c>
      <c r="E50" s="46">
        <v>22583</v>
      </c>
      <c r="F50" s="46">
        <f>E50/9</f>
        <v>2509.2222222222222</v>
      </c>
      <c r="G50" s="46"/>
      <c r="H50" s="57">
        <f>D50*$M$50</f>
        <v>940.199936000001</v>
      </c>
      <c r="I50" s="57">
        <v>30330</v>
      </c>
      <c r="J50" s="58">
        <f t="shared" ref="J50:J53" si="11">I50/12</f>
        <v>2527.5</v>
      </c>
      <c r="K50" s="101" t="s">
        <v>501</v>
      </c>
      <c r="L50" s="104">
        <f>SUM(E50)+(F50*3)*1.03</f>
        <v>30336.496666666666</v>
      </c>
      <c r="M50" s="165">
        <v>0.03</v>
      </c>
      <c r="N50" s="104"/>
      <c r="O50" s="104"/>
      <c r="P50" s="104"/>
      <c r="Q50" s="104"/>
      <c r="R50" s="104"/>
    </row>
    <row r="51" spans="1:18" x14ac:dyDescent="0.25">
      <c r="A51" s="231" t="s">
        <v>47</v>
      </c>
      <c r="B51" s="44">
        <v>3</v>
      </c>
      <c r="C51" s="118">
        <f>24876.05-105</f>
        <v>24771.05</v>
      </c>
      <c r="D51" s="57">
        <v>3850</v>
      </c>
      <c r="E51" s="46">
        <v>3731</v>
      </c>
      <c r="F51" s="46">
        <f t="shared" ref="F51:F52" si="12">E51/9</f>
        <v>414.55555555555554</v>
      </c>
      <c r="G51" s="46"/>
      <c r="H51" s="57">
        <f>D51*$M$51</f>
        <v>154</v>
      </c>
      <c r="I51" s="57">
        <v>5010</v>
      </c>
      <c r="J51" s="58">
        <f t="shared" si="11"/>
        <v>417.5</v>
      </c>
      <c r="K51" s="101" t="s">
        <v>500</v>
      </c>
      <c r="L51" s="104">
        <f t="shared" ref="L51" si="13">SUM(E51)+(F51*3)*1.03</f>
        <v>5011.9766666666665</v>
      </c>
      <c r="M51" s="165">
        <v>0.04</v>
      </c>
      <c r="N51" s="104"/>
      <c r="O51" s="104"/>
      <c r="P51" s="104"/>
      <c r="Q51" s="104"/>
      <c r="R51" s="104"/>
    </row>
    <row r="52" spans="1:18" x14ac:dyDescent="0.25">
      <c r="A52" s="231" t="s">
        <v>48</v>
      </c>
      <c r="B52" s="44">
        <v>3</v>
      </c>
      <c r="C52" s="118">
        <f>24845.71+7959</f>
        <v>32804.71</v>
      </c>
      <c r="D52" s="57">
        <v>15270</v>
      </c>
      <c r="E52" s="46">
        <v>8767</v>
      </c>
      <c r="F52" s="46">
        <f t="shared" si="12"/>
        <v>974.11111111111109</v>
      </c>
      <c r="G52" s="46"/>
      <c r="H52" s="57">
        <f>D52*$M$52</f>
        <v>610.80000000000007</v>
      </c>
      <c r="I52" s="57">
        <v>11810</v>
      </c>
      <c r="J52" s="58">
        <f t="shared" si="11"/>
        <v>984.16666666666663</v>
      </c>
      <c r="K52" s="101" t="s">
        <v>533</v>
      </c>
      <c r="L52" s="104">
        <f>SUM(E52)+(F52*3)*1.043</f>
        <v>11814.993666666665</v>
      </c>
      <c r="M52" s="165">
        <v>0.04</v>
      </c>
      <c r="N52" s="104"/>
      <c r="O52" s="104"/>
      <c r="P52" s="104"/>
      <c r="Q52" s="104"/>
      <c r="R52" s="104"/>
    </row>
    <row r="53" spans="1:18" x14ac:dyDescent="0.25">
      <c r="A53" s="231" t="s">
        <v>49</v>
      </c>
      <c r="B53" s="44">
        <v>3</v>
      </c>
      <c r="C53" s="118">
        <f>12400.96+1541</f>
        <v>13941.96</v>
      </c>
      <c r="D53" s="137">
        <v>2850</v>
      </c>
      <c r="E53" s="53">
        <v>2093</v>
      </c>
      <c r="F53" s="53">
        <f>E53/9</f>
        <v>232.55555555555554</v>
      </c>
      <c r="G53" s="53"/>
      <c r="H53" s="137">
        <f>D53*$M$53</f>
        <v>114</v>
      </c>
      <c r="I53" s="137">
        <v>2820</v>
      </c>
      <c r="J53" s="139">
        <f t="shared" si="11"/>
        <v>235</v>
      </c>
      <c r="K53" s="101" t="s">
        <v>500</v>
      </c>
      <c r="L53" s="104">
        <f>SUM(E53)+(F53*3)*1.04</f>
        <v>2818.5733333333333</v>
      </c>
      <c r="M53" s="165">
        <v>0.04</v>
      </c>
      <c r="N53" s="104"/>
      <c r="O53" s="104"/>
      <c r="P53" s="104"/>
      <c r="Q53" s="104"/>
      <c r="R53" s="104"/>
    </row>
    <row r="54" spans="1:18" x14ac:dyDescent="0.25">
      <c r="A54" s="232" t="s">
        <v>301</v>
      </c>
      <c r="B54" s="44"/>
      <c r="C54" s="45">
        <f>SUM(C50:C53)</f>
        <v>132359.13</v>
      </c>
      <c r="D54" s="46">
        <f>SUM(D50:D53)</f>
        <v>53309.997866666701</v>
      </c>
      <c r="E54" s="46">
        <f>SUM(E50:E53)</f>
        <v>37174</v>
      </c>
      <c r="F54" s="46">
        <f>SUM(F50:F53)</f>
        <v>4130.4444444444443</v>
      </c>
      <c r="G54" s="46"/>
      <c r="H54" s="46">
        <f>SUM(H50:H53)</f>
        <v>1818.9999360000011</v>
      </c>
      <c r="I54" s="57">
        <f>SUM(I50:I53)</f>
        <v>49970</v>
      </c>
      <c r="J54" s="58">
        <f t="shared" si="4"/>
        <v>4164.166666666667</v>
      </c>
      <c r="K54" s="101"/>
      <c r="L54" s="104"/>
      <c r="M54" s="104"/>
      <c r="N54" s="104"/>
      <c r="O54" s="104"/>
      <c r="P54" s="104"/>
      <c r="Q54" s="104"/>
      <c r="R54" s="104"/>
    </row>
    <row r="55" spans="1:18" ht="5.25" customHeight="1" x14ac:dyDescent="0.25">
      <c r="A55" s="231"/>
      <c r="B55" s="44"/>
      <c r="C55" s="118"/>
      <c r="D55" s="57"/>
      <c r="E55" s="46"/>
      <c r="F55" s="46"/>
      <c r="G55" s="46"/>
      <c r="H55" s="57"/>
      <c r="I55" s="57"/>
      <c r="J55" s="58"/>
      <c r="K55" s="101"/>
      <c r="L55" s="104"/>
      <c r="M55" s="165"/>
      <c r="N55" s="104"/>
      <c r="O55" s="104"/>
      <c r="P55" s="104"/>
      <c r="Q55" s="104"/>
      <c r="R55" s="104"/>
    </row>
    <row r="56" spans="1:18" x14ac:dyDescent="0.25">
      <c r="A56" s="232" t="s">
        <v>451</v>
      </c>
      <c r="B56" s="44"/>
      <c r="C56" s="45"/>
      <c r="D56" s="115"/>
      <c r="E56" s="45"/>
      <c r="F56" s="45"/>
      <c r="G56" s="45"/>
      <c r="H56" s="115"/>
      <c r="I56" s="115"/>
      <c r="J56" s="116"/>
      <c r="K56" s="101"/>
      <c r="L56" s="104"/>
      <c r="M56" s="104"/>
      <c r="N56" s="104"/>
      <c r="O56" s="104"/>
      <c r="P56" s="104"/>
      <c r="Q56" s="104"/>
      <c r="R56" s="104"/>
    </row>
    <row r="57" spans="1:18" x14ac:dyDescent="0.25">
      <c r="A57" s="231" t="s">
        <v>50</v>
      </c>
      <c r="B57" s="44">
        <v>3</v>
      </c>
      <c r="C57" s="118">
        <f>2921.33+807</f>
        <v>3728.33</v>
      </c>
      <c r="D57" s="57">
        <v>640</v>
      </c>
      <c r="E57" s="46">
        <v>857</v>
      </c>
      <c r="F57" s="46">
        <f>E57/9</f>
        <v>95.222222222222229</v>
      </c>
      <c r="G57" s="46"/>
      <c r="H57" s="57">
        <f t="shared" ref="H57:H64" si="14">D57*$N$7</f>
        <v>19.2</v>
      </c>
      <c r="I57" s="57">
        <v>1150</v>
      </c>
      <c r="J57" s="58">
        <f t="shared" si="4"/>
        <v>95.833333333333329</v>
      </c>
      <c r="K57" s="104"/>
      <c r="L57" s="104">
        <f>SUM(E57)+(F57*3)*1.03</f>
        <v>1151.2366666666667</v>
      </c>
      <c r="M57" s="104"/>
      <c r="N57" s="104"/>
      <c r="O57" s="104"/>
      <c r="P57" s="104"/>
      <c r="Q57" s="104"/>
      <c r="R57" s="104"/>
    </row>
    <row r="58" spans="1:18" x14ac:dyDescent="0.25">
      <c r="A58" s="231" t="s">
        <v>374</v>
      </c>
      <c r="B58" s="44">
        <v>3</v>
      </c>
      <c r="C58" s="118">
        <f>41613.62+589</f>
        <v>42202.62</v>
      </c>
      <c r="D58" s="57">
        <v>7330</v>
      </c>
      <c r="E58" s="46">
        <v>236</v>
      </c>
      <c r="F58" s="46">
        <f t="shared" ref="F58:F69" si="15">E58/9</f>
        <v>26.222222222222221</v>
      </c>
      <c r="G58" s="46"/>
      <c r="H58" s="57">
        <f t="shared" si="14"/>
        <v>219.9</v>
      </c>
      <c r="I58" s="57">
        <v>7200</v>
      </c>
      <c r="J58" s="58">
        <f t="shared" si="4"/>
        <v>600</v>
      </c>
      <c r="K58" s="104"/>
      <c r="L58" s="104">
        <f t="shared" ref="L58:L59" si="16">SUM(E58)+(F58*3)*1.03</f>
        <v>317.02666666666664</v>
      </c>
      <c r="M58" s="104"/>
      <c r="N58" s="104"/>
      <c r="O58" s="104"/>
      <c r="P58" s="104"/>
      <c r="Q58" s="104"/>
      <c r="R58" s="104"/>
    </row>
    <row r="59" spans="1:18" x14ac:dyDescent="0.25">
      <c r="A59" s="231" t="s">
        <v>340</v>
      </c>
      <c r="B59" s="44">
        <v>3</v>
      </c>
      <c r="C59" s="118">
        <f>4277+63</f>
        <v>4340</v>
      </c>
      <c r="D59" s="57">
        <v>860</v>
      </c>
      <c r="E59" s="46">
        <v>1251</v>
      </c>
      <c r="F59" s="46">
        <f t="shared" si="15"/>
        <v>139</v>
      </c>
      <c r="G59" s="46"/>
      <c r="H59" s="57">
        <f t="shared" si="14"/>
        <v>25.8</v>
      </c>
      <c r="I59" s="57">
        <v>4300</v>
      </c>
      <c r="J59" s="58">
        <f t="shared" si="4"/>
        <v>358.33333333333331</v>
      </c>
      <c r="K59" s="101" t="s">
        <v>536</v>
      </c>
      <c r="L59" s="104">
        <f t="shared" si="16"/>
        <v>1680.51</v>
      </c>
      <c r="M59" s="104"/>
      <c r="N59" s="104"/>
      <c r="O59" s="104"/>
      <c r="P59" s="104"/>
      <c r="Q59" s="104"/>
      <c r="R59" s="104"/>
    </row>
    <row r="60" spans="1:18" x14ac:dyDescent="0.25">
      <c r="A60" s="231" t="s">
        <v>53</v>
      </c>
      <c r="B60" s="44">
        <v>3</v>
      </c>
      <c r="C60" s="118">
        <f>4502.12+1207</f>
        <v>5709.12</v>
      </c>
      <c r="D60" s="57">
        <v>3180</v>
      </c>
      <c r="E60" s="46">
        <v>2393</v>
      </c>
      <c r="F60" s="46">
        <f t="shared" si="15"/>
        <v>265.88888888888891</v>
      </c>
      <c r="G60" s="46"/>
      <c r="H60" s="57">
        <f t="shared" si="14"/>
        <v>95.399999999999991</v>
      </c>
      <c r="I60" s="57">
        <v>3350</v>
      </c>
      <c r="J60" s="58">
        <f t="shared" si="4"/>
        <v>279.16666666666669</v>
      </c>
      <c r="K60" s="101" t="s">
        <v>537</v>
      </c>
      <c r="L60" s="104">
        <f>SUM((E60)+(F60*3))*1.05</f>
        <v>3350.2000000000003</v>
      </c>
      <c r="M60" s="104"/>
      <c r="N60" s="104"/>
      <c r="O60" s="104"/>
      <c r="P60" s="104"/>
      <c r="Q60" s="104"/>
      <c r="R60" s="104"/>
    </row>
    <row r="61" spans="1:18" hidden="1" x14ac:dyDescent="0.25">
      <c r="A61" s="231" t="s">
        <v>236</v>
      </c>
      <c r="B61" s="44">
        <v>3</v>
      </c>
      <c r="C61" s="118">
        <f>160.09+713</f>
        <v>873.09</v>
      </c>
      <c r="D61" s="57">
        <v>0</v>
      </c>
      <c r="E61" s="46">
        <v>0</v>
      </c>
      <c r="F61" s="46">
        <f t="shared" si="15"/>
        <v>0</v>
      </c>
      <c r="G61" s="46"/>
      <c r="H61" s="57">
        <f t="shared" si="14"/>
        <v>0</v>
      </c>
      <c r="I61" s="57">
        <v>0</v>
      </c>
      <c r="J61" s="58">
        <f t="shared" si="4"/>
        <v>0</v>
      </c>
      <c r="K61" s="104"/>
      <c r="L61" s="104"/>
      <c r="M61" s="104"/>
      <c r="N61" s="104"/>
      <c r="O61" s="104"/>
      <c r="P61" s="104"/>
      <c r="Q61" s="104"/>
      <c r="R61" s="104"/>
    </row>
    <row r="62" spans="1:18" x14ac:dyDescent="0.25">
      <c r="A62" s="231" t="s">
        <v>305</v>
      </c>
      <c r="B62" s="44">
        <v>3</v>
      </c>
      <c r="C62" s="118">
        <f>18486.48+2777</f>
        <v>21263.48</v>
      </c>
      <c r="D62" s="57">
        <v>13490</v>
      </c>
      <c r="E62" s="46">
        <v>8573</v>
      </c>
      <c r="F62" s="46">
        <f t="shared" si="15"/>
        <v>952.55555555555554</v>
      </c>
      <c r="G62" s="46"/>
      <c r="H62" s="57">
        <f t="shared" si="14"/>
        <v>404.7</v>
      </c>
      <c r="I62" s="57">
        <v>11520</v>
      </c>
      <c r="J62" s="58">
        <f t="shared" si="4"/>
        <v>960</v>
      </c>
      <c r="K62" s="101" t="s">
        <v>538</v>
      </c>
      <c r="L62" s="104">
        <f t="shared" ref="L62:L63" si="17">SUM(E62)+(F62*3)*1.03</f>
        <v>11516.396666666667</v>
      </c>
      <c r="M62" s="104"/>
      <c r="N62" s="104"/>
      <c r="O62" s="104"/>
      <c r="P62" s="104"/>
      <c r="Q62" s="104"/>
      <c r="R62" s="104"/>
    </row>
    <row r="63" spans="1:18" x14ac:dyDescent="0.25">
      <c r="A63" s="231" t="s">
        <v>248</v>
      </c>
      <c r="B63" s="44">
        <v>3</v>
      </c>
      <c r="C63" s="118">
        <f>56966.48-5005</f>
        <v>51961.48</v>
      </c>
      <c r="D63" s="57">
        <v>13450</v>
      </c>
      <c r="E63" s="46">
        <v>8215</v>
      </c>
      <c r="F63" s="46">
        <f t="shared" si="15"/>
        <v>912.77777777777783</v>
      </c>
      <c r="G63" s="46"/>
      <c r="H63" s="57">
        <f t="shared" si="14"/>
        <v>403.5</v>
      </c>
      <c r="I63" s="57">
        <v>11040</v>
      </c>
      <c r="J63" s="58">
        <f t="shared" si="4"/>
        <v>920</v>
      </c>
      <c r="K63" s="101" t="s">
        <v>546</v>
      </c>
      <c r="L63" s="104">
        <f t="shared" si="17"/>
        <v>11035.483333333334</v>
      </c>
      <c r="M63" s="104"/>
      <c r="N63" s="104"/>
      <c r="O63" s="104"/>
      <c r="P63" s="104"/>
      <c r="Q63" s="104"/>
      <c r="R63" s="104"/>
    </row>
    <row r="64" spans="1:18" ht="24.75" x14ac:dyDescent="0.25">
      <c r="A64" s="231" t="s">
        <v>55</v>
      </c>
      <c r="B64" s="44">
        <v>3</v>
      </c>
      <c r="C64" s="118">
        <f>136422.19-26033</f>
        <v>110389.19</v>
      </c>
      <c r="D64" s="57">
        <v>31660</v>
      </c>
      <c r="E64" s="46">
        <v>35287</v>
      </c>
      <c r="F64" s="46">
        <f t="shared" si="15"/>
        <v>3920.7777777777778</v>
      </c>
      <c r="G64" s="46"/>
      <c r="H64" s="57">
        <f t="shared" si="14"/>
        <v>949.8</v>
      </c>
      <c r="I64" s="57">
        <f>57560-1610</f>
        <v>55950</v>
      </c>
      <c r="J64" s="58">
        <f t="shared" si="4"/>
        <v>4662.5</v>
      </c>
      <c r="K64" s="229" t="s">
        <v>539</v>
      </c>
      <c r="L64" s="104" t="s">
        <v>564</v>
      </c>
      <c r="M64" s="104"/>
      <c r="N64" s="104"/>
      <c r="O64" s="104"/>
      <c r="P64" s="104"/>
      <c r="Q64" s="104"/>
      <c r="R64" s="104"/>
    </row>
    <row r="65" spans="1:18" x14ac:dyDescent="0.25">
      <c r="A65" s="231" t="s">
        <v>221</v>
      </c>
      <c r="B65" s="44">
        <v>3</v>
      </c>
      <c r="C65" s="118">
        <f>7778.41+6203</f>
        <v>13981.41</v>
      </c>
      <c r="D65" s="57">
        <v>2739.8</v>
      </c>
      <c r="E65" s="46">
        <v>4140</v>
      </c>
      <c r="F65" s="46">
        <f t="shared" si="15"/>
        <v>460</v>
      </c>
      <c r="G65" s="46"/>
      <c r="H65" s="57">
        <v>0</v>
      </c>
      <c r="I65" s="57">
        <v>5560</v>
      </c>
      <c r="J65" s="58">
        <f t="shared" si="4"/>
        <v>463.33333333333331</v>
      </c>
      <c r="K65" s="101"/>
      <c r="L65" s="104">
        <f t="shared" ref="L65" si="18">SUM(E65)+(F65*3)*1.03</f>
        <v>5561.4</v>
      </c>
      <c r="M65" s="104"/>
      <c r="N65" s="104"/>
      <c r="O65" s="104"/>
      <c r="P65" s="104"/>
      <c r="Q65" s="104"/>
      <c r="R65" s="104"/>
    </row>
    <row r="66" spans="1:18" x14ac:dyDescent="0.25">
      <c r="A66" s="231" t="s">
        <v>496</v>
      </c>
      <c r="B66" s="44"/>
      <c r="C66" s="118"/>
      <c r="D66" s="57">
        <v>1200</v>
      </c>
      <c r="E66" s="46">
        <v>0</v>
      </c>
      <c r="F66" s="46">
        <f t="shared" si="15"/>
        <v>0</v>
      </c>
      <c r="G66" s="46"/>
      <c r="H66" s="57">
        <v>0</v>
      </c>
      <c r="I66" s="57">
        <v>1200</v>
      </c>
      <c r="J66" s="58">
        <f t="shared" si="4"/>
        <v>100</v>
      </c>
      <c r="K66" s="101" t="s">
        <v>540</v>
      </c>
      <c r="L66" s="104"/>
      <c r="M66" s="104"/>
      <c r="N66" s="104"/>
      <c r="O66" s="104"/>
      <c r="P66" s="104"/>
      <c r="Q66" s="104"/>
      <c r="R66" s="104"/>
    </row>
    <row r="67" spans="1:18" x14ac:dyDescent="0.25">
      <c r="A67" s="231" t="s">
        <v>497</v>
      </c>
      <c r="B67" s="44"/>
      <c r="C67" s="118"/>
      <c r="D67" s="57">
        <v>4450</v>
      </c>
      <c r="E67" s="46">
        <v>4281</v>
      </c>
      <c r="F67" s="46">
        <f t="shared" si="15"/>
        <v>475.66666666666669</v>
      </c>
      <c r="G67" s="46"/>
      <c r="H67" s="57">
        <v>0</v>
      </c>
      <c r="I67" s="57">
        <v>4450</v>
      </c>
      <c r="J67" s="58">
        <f t="shared" si="4"/>
        <v>370.83333333333331</v>
      </c>
      <c r="K67" s="101" t="s">
        <v>541</v>
      </c>
      <c r="L67" s="104"/>
      <c r="M67" s="104"/>
      <c r="N67" s="104"/>
      <c r="O67" s="104"/>
      <c r="P67" s="104"/>
      <c r="Q67" s="104"/>
      <c r="R67" s="104"/>
    </row>
    <row r="68" spans="1:18" x14ac:dyDescent="0.25">
      <c r="A68" s="231" t="s">
        <v>343</v>
      </c>
      <c r="B68" s="44">
        <v>3</v>
      </c>
      <c r="C68" s="118">
        <f>16043.56+1199</f>
        <v>17242.559999999998</v>
      </c>
      <c r="D68" s="57">
        <v>4970</v>
      </c>
      <c r="E68" s="46">
        <v>3652</v>
      </c>
      <c r="F68" s="46">
        <f t="shared" si="15"/>
        <v>405.77777777777777</v>
      </c>
      <c r="G68" s="46"/>
      <c r="H68" s="57">
        <f>D68*$N$7</f>
        <v>149.1</v>
      </c>
      <c r="I68" s="57">
        <v>5060</v>
      </c>
      <c r="J68" s="58">
        <f t="shared" si="4"/>
        <v>421.66666666666669</v>
      </c>
      <c r="K68" s="101" t="s">
        <v>542</v>
      </c>
      <c r="L68" s="104">
        <f>SUM((E68)+(F68*3))*1.04</f>
        <v>5064.1066666666666</v>
      </c>
      <c r="M68" s="104"/>
      <c r="N68" s="104"/>
      <c r="O68" s="104"/>
      <c r="P68" s="104"/>
      <c r="Q68" s="104"/>
      <c r="R68" s="104"/>
    </row>
    <row r="69" spans="1:18" x14ac:dyDescent="0.25">
      <c r="A69" s="231" t="s">
        <v>57</v>
      </c>
      <c r="B69" s="44">
        <v>3</v>
      </c>
      <c r="C69" s="118">
        <f>10970.98-3107</f>
        <v>7863.98</v>
      </c>
      <c r="D69" s="57">
        <v>12040</v>
      </c>
      <c r="E69" s="46">
        <v>7747</v>
      </c>
      <c r="F69" s="46">
        <f t="shared" si="15"/>
        <v>860.77777777777783</v>
      </c>
      <c r="G69" s="46"/>
      <c r="H69" s="57">
        <f>D69*$N$7</f>
        <v>361.2</v>
      </c>
      <c r="I69" s="57">
        <v>12040</v>
      </c>
      <c r="J69" s="58">
        <f t="shared" si="4"/>
        <v>1003.3333333333334</v>
      </c>
      <c r="K69" s="104"/>
      <c r="L69" s="104">
        <f t="shared" ref="L69" si="19">SUM(E69)+(F69*3)*1.03</f>
        <v>10406.803333333333</v>
      </c>
      <c r="M69" s="104"/>
      <c r="N69" s="104"/>
      <c r="O69" s="104"/>
      <c r="P69" s="104"/>
      <c r="Q69" s="104"/>
      <c r="R69" s="104"/>
    </row>
    <row r="70" spans="1:18" x14ac:dyDescent="0.25">
      <c r="A70" s="231" t="s">
        <v>56</v>
      </c>
      <c r="B70" s="44">
        <v>3</v>
      </c>
      <c r="C70" s="119">
        <v>203</v>
      </c>
      <c r="D70" s="137">
        <v>18500</v>
      </c>
      <c r="E70" s="53">
        <v>0</v>
      </c>
      <c r="F70" s="53">
        <f>E70/9</f>
        <v>0</v>
      </c>
      <c r="G70" s="53"/>
      <c r="H70" s="137">
        <f>D70*$N$7</f>
        <v>555</v>
      </c>
      <c r="I70" s="137">
        <v>18500</v>
      </c>
      <c r="J70" s="139">
        <f t="shared" si="4"/>
        <v>1541.6666666666667</v>
      </c>
      <c r="K70" s="101" t="s">
        <v>504</v>
      </c>
      <c r="L70" s="104"/>
      <c r="M70" s="104"/>
      <c r="N70" s="104"/>
      <c r="O70" s="104"/>
      <c r="P70" s="104"/>
      <c r="Q70" s="104"/>
      <c r="R70" s="104"/>
    </row>
    <row r="71" spans="1:18" x14ac:dyDescent="0.25">
      <c r="A71" s="232" t="s">
        <v>84</v>
      </c>
      <c r="B71" s="44"/>
      <c r="C71" s="45">
        <f>SUM(C57:C70)</f>
        <v>279758.26</v>
      </c>
      <c r="D71" s="46">
        <f>SUM(D57:D70)</f>
        <v>114509.8</v>
      </c>
      <c r="E71" s="46">
        <f>SUM(E57:E70)</f>
        <v>76632</v>
      </c>
      <c r="F71" s="46">
        <f>SUM(F57:F70)</f>
        <v>8514.6666666666679</v>
      </c>
      <c r="G71" s="46"/>
      <c r="H71" s="57">
        <f>SUM(H57:H70)</f>
        <v>3183.6</v>
      </c>
      <c r="I71" s="57">
        <f>SUM(I57:I70)</f>
        <v>141320</v>
      </c>
      <c r="J71" s="58">
        <f t="shared" si="4"/>
        <v>11776.666666666666</v>
      </c>
      <c r="K71" s="104"/>
      <c r="L71" s="104"/>
      <c r="M71" s="104"/>
      <c r="N71" s="104"/>
      <c r="O71" s="104"/>
      <c r="P71" s="104"/>
      <c r="Q71" s="104"/>
      <c r="R71" s="104"/>
    </row>
    <row r="72" spans="1:18" ht="9" customHeight="1" x14ac:dyDescent="0.25">
      <c r="A72" s="231"/>
      <c r="B72" s="44"/>
      <c r="C72" s="45"/>
      <c r="D72" s="45"/>
      <c r="E72" s="45"/>
      <c r="F72" s="45"/>
      <c r="G72" s="45"/>
      <c r="H72" s="115"/>
      <c r="I72" s="115"/>
      <c r="J72" s="116"/>
      <c r="K72" s="104"/>
      <c r="L72" s="104"/>
      <c r="M72" s="104"/>
      <c r="N72" s="104"/>
      <c r="O72" s="104"/>
      <c r="P72" s="104"/>
      <c r="Q72" s="104"/>
      <c r="R72" s="104"/>
    </row>
    <row r="73" spans="1:18" x14ac:dyDescent="0.25">
      <c r="A73" s="232" t="s">
        <v>452</v>
      </c>
      <c r="B73" s="44"/>
      <c r="C73" s="45"/>
      <c r="D73" s="45"/>
      <c r="E73" s="45"/>
      <c r="F73" s="45"/>
      <c r="G73" s="45"/>
      <c r="H73" s="115"/>
      <c r="I73" s="115"/>
      <c r="J73" s="116"/>
      <c r="K73" s="104"/>
      <c r="L73" s="104"/>
      <c r="M73" s="104"/>
      <c r="N73" s="104"/>
      <c r="O73" s="104"/>
      <c r="P73" s="104"/>
      <c r="Q73" s="104"/>
      <c r="R73" s="104"/>
    </row>
    <row r="74" spans="1:18" x14ac:dyDescent="0.25">
      <c r="A74" s="231" t="s">
        <v>42</v>
      </c>
      <c r="B74" s="44">
        <v>3</v>
      </c>
      <c r="C74" s="118">
        <f>17857.13-495</f>
        <v>17362.13</v>
      </c>
      <c r="D74" s="57">
        <v>4320</v>
      </c>
      <c r="E74" s="46">
        <v>2388</v>
      </c>
      <c r="F74" s="46">
        <f>E74/9</f>
        <v>265.33333333333331</v>
      </c>
      <c r="G74" s="46"/>
      <c r="H74" s="57">
        <f>D74*$M$74</f>
        <v>330.48</v>
      </c>
      <c r="I74" s="57">
        <v>4150</v>
      </c>
      <c r="J74" s="58">
        <f t="shared" ref="J74:J78" si="20">I74/12</f>
        <v>345.83333333333331</v>
      </c>
      <c r="K74" s="101" t="s">
        <v>424</v>
      </c>
      <c r="L74" s="104">
        <f>SUM(I38+I70)*7.65%</f>
        <v>4151.6549999999997</v>
      </c>
      <c r="M74" s="166">
        <v>7.6499999999999999E-2</v>
      </c>
      <c r="N74" s="104"/>
      <c r="O74" s="104"/>
      <c r="P74" s="104"/>
      <c r="Q74" s="104"/>
      <c r="R74" s="104"/>
    </row>
    <row r="75" spans="1:18" x14ac:dyDescent="0.25">
      <c r="A75" s="231" t="s">
        <v>318</v>
      </c>
      <c r="B75" s="44">
        <v>3</v>
      </c>
      <c r="C75" s="118">
        <f>21162.07+4067</f>
        <v>25229.07</v>
      </c>
      <c r="D75" s="57">
        <v>22220</v>
      </c>
      <c r="E75" s="46">
        <v>16388</v>
      </c>
      <c r="F75" s="46">
        <f t="shared" ref="F75:F80" si="21">E75/9</f>
        <v>1820.8888888888889</v>
      </c>
      <c r="G75" s="46"/>
      <c r="H75" s="57">
        <f>D75*$M$75</f>
        <v>1111</v>
      </c>
      <c r="I75" s="57">
        <v>22220</v>
      </c>
      <c r="J75" s="58">
        <f t="shared" si="20"/>
        <v>1851.6666666666667</v>
      </c>
      <c r="K75" s="101"/>
      <c r="L75" s="104">
        <f>SUM(E75)*1.05</f>
        <v>17207.400000000001</v>
      </c>
      <c r="M75" s="165">
        <v>0.05</v>
      </c>
      <c r="N75" s="104"/>
      <c r="O75" s="104"/>
      <c r="P75" s="104"/>
      <c r="Q75" s="104"/>
      <c r="R75" s="104"/>
    </row>
    <row r="76" spans="1:18" x14ac:dyDescent="0.25">
      <c r="A76" s="231" t="s">
        <v>59</v>
      </c>
      <c r="B76" s="44">
        <v>3</v>
      </c>
      <c r="C76" s="118">
        <f>66785.16-8677</f>
        <v>58108.160000000003</v>
      </c>
      <c r="D76" s="57">
        <v>16950</v>
      </c>
      <c r="E76" s="46">
        <v>7350</v>
      </c>
      <c r="F76" s="46">
        <f t="shared" si="21"/>
        <v>816.66666666666663</v>
      </c>
      <c r="G76" s="46"/>
      <c r="H76" s="57">
        <f>D76*$M$76</f>
        <v>5085</v>
      </c>
      <c r="I76" s="57">
        <v>16280</v>
      </c>
      <c r="J76" s="58">
        <f t="shared" si="20"/>
        <v>1356.6666666666667</v>
      </c>
      <c r="K76" s="101" t="s">
        <v>502</v>
      </c>
      <c r="L76" s="104">
        <f>SUM($I$38+$I$70)*30%</f>
        <v>16281</v>
      </c>
      <c r="M76" s="165">
        <v>0.3</v>
      </c>
      <c r="N76" s="104"/>
      <c r="O76" s="104"/>
      <c r="P76" s="104"/>
      <c r="Q76" s="104"/>
      <c r="R76" s="104"/>
    </row>
    <row r="77" spans="1:18" x14ac:dyDescent="0.25">
      <c r="A77" s="231" t="s">
        <v>287</v>
      </c>
      <c r="B77" s="44">
        <v>3</v>
      </c>
      <c r="C77" s="118">
        <f>2231.4+909</f>
        <v>3140.4</v>
      </c>
      <c r="D77" s="57">
        <v>1700</v>
      </c>
      <c r="E77" s="46">
        <v>1192</v>
      </c>
      <c r="F77" s="46">
        <f t="shared" si="21"/>
        <v>132.44444444444446</v>
      </c>
      <c r="G77" s="46"/>
      <c r="H77" s="57">
        <f>D77*$M$50</f>
        <v>51</v>
      </c>
      <c r="I77" s="57">
        <v>1630</v>
      </c>
      <c r="J77" s="58">
        <f t="shared" si="20"/>
        <v>135.83333333333334</v>
      </c>
      <c r="K77" s="101" t="s">
        <v>543</v>
      </c>
      <c r="L77" s="104">
        <f>(I38+I70)*3%</f>
        <v>1628.1</v>
      </c>
      <c r="M77" s="104"/>
      <c r="N77" s="104"/>
      <c r="O77" s="104"/>
      <c r="P77" s="104"/>
      <c r="Q77" s="104"/>
      <c r="R77" s="104"/>
    </row>
    <row r="78" spans="1:18" x14ac:dyDescent="0.25">
      <c r="A78" s="231" t="s">
        <v>61</v>
      </c>
      <c r="B78" s="44">
        <v>3</v>
      </c>
      <c r="C78" s="45">
        <f>27130.12-1061</f>
        <v>26069.119999999999</v>
      </c>
      <c r="D78" s="57">
        <v>250</v>
      </c>
      <c r="E78" s="46">
        <v>0</v>
      </c>
      <c r="F78" s="46">
        <f t="shared" si="21"/>
        <v>0</v>
      </c>
      <c r="G78" s="46"/>
      <c r="H78" s="57">
        <f>D78*$M$50</f>
        <v>7.5</v>
      </c>
      <c r="I78" s="57">
        <v>250</v>
      </c>
      <c r="J78" s="58">
        <f t="shared" si="20"/>
        <v>20.833333333333332</v>
      </c>
      <c r="K78" s="104"/>
      <c r="L78" s="104"/>
      <c r="M78" s="104"/>
      <c r="N78" s="104"/>
      <c r="O78" s="104"/>
      <c r="P78" s="104"/>
      <c r="Q78" s="104"/>
      <c r="R78" s="104"/>
    </row>
    <row r="79" spans="1:18" x14ac:dyDescent="0.25">
      <c r="A79" s="231" t="s">
        <v>346</v>
      </c>
      <c r="B79" s="44">
        <v>3</v>
      </c>
      <c r="C79" s="118">
        <f>220.09+13</f>
        <v>233.09</v>
      </c>
      <c r="D79" s="57">
        <v>40</v>
      </c>
      <c r="E79" s="46">
        <v>16</v>
      </c>
      <c r="F79" s="46">
        <f t="shared" si="21"/>
        <v>1.7777777777777777</v>
      </c>
      <c r="G79" s="46"/>
      <c r="H79" s="57">
        <f>D79*$N$7</f>
        <v>1.2</v>
      </c>
      <c r="I79" s="57">
        <v>40</v>
      </c>
      <c r="J79" s="58">
        <f t="shared" si="4"/>
        <v>3.3333333333333335</v>
      </c>
      <c r="K79" s="101" t="s">
        <v>347</v>
      </c>
      <c r="L79" s="104"/>
      <c r="M79" s="104"/>
      <c r="N79" s="104"/>
      <c r="O79" s="104"/>
      <c r="P79" s="104"/>
      <c r="Q79" s="104"/>
      <c r="R79" s="104"/>
    </row>
    <row r="80" spans="1:18" x14ac:dyDescent="0.25">
      <c r="A80" s="231" t="s">
        <v>456</v>
      </c>
      <c r="B80" s="44">
        <v>3</v>
      </c>
      <c r="C80" s="118">
        <f>28668.48+32612</f>
        <v>61280.479999999996</v>
      </c>
      <c r="D80" s="57">
        <v>48000</v>
      </c>
      <c r="E80" s="46">
        <v>31775</v>
      </c>
      <c r="F80" s="46">
        <f t="shared" si="21"/>
        <v>3530.5555555555557</v>
      </c>
      <c r="G80" s="46"/>
      <c r="H80" s="57">
        <f>D80*$N$7</f>
        <v>1440</v>
      </c>
      <c r="I80" s="57">
        <v>45540</v>
      </c>
      <c r="J80" s="58">
        <f t="shared" si="4"/>
        <v>3795</v>
      </c>
      <c r="K80" s="101" t="s">
        <v>506</v>
      </c>
      <c r="L80" s="104"/>
      <c r="M80" s="104"/>
      <c r="N80" s="104"/>
      <c r="O80" s="104"/>
      <c r="P80" s="104"/>
      <c r="Q80" s="104"/>
      <c r="R80" s="104"/>
    </row>
    <row r="81" spans="1:18" x14ac:dyDescent="0.25">
      <c r="A81" s="231" t="s">
        <v>62</v>
      </c>
      <c r="B81" s="44">
        <v>3</v>
      </c>
      <c r="C81" s="119">
        <v>139481.24</v>
      </c>
      <c r="D81" s="137">
        <v>273310</v>
      </c>
      <c r="E81" s="53">
        <v>206523</v>
      </c>
      <c r="F81" s="53">
        <f>E81/9</f>
        <v>22947</v>
      </c>
      <c r="G81" s="53"/>
      <c r="H81" s="137">
        <v>0</v>
      </c>
      <c r="I81" s="137">
        <v>275360</v>
      </c>
      <c r="J81" s="139">
        <f t="shared" si="4"/>
        <v>22946.666666666668</v>
      </c>
      <c r="K81" s="101" t="s">
        <v>253</v>
      </c>
      <c r="L81" s="104"/>
      <c r="M81" s="104"/>
      <c r="N81" s="104"/>
      <c r="O81" s="104"/>
      <c r="P81" s="104"/>
      <c r="Q81" s="104"/>
      <c r="R81" s="104"/>
    </row>
    <row r="82" spans="1:18" x14ac:dyDescent="0.25">
      <c r="A82" s="232" t="s">
        <v>85</v>
      </c>
      <c r="B82" s="44"/>
      <c r="C82" s="45">
        <f t="shared" ref="C82:J82" si="22">SUM(C74:C81)</f>
        <v>330903.68999999994</v>
      </c>
      <c r="D82" s="46">
        <f t="shared" si="22"/>
        <v>366790</v>
      </c>
      <c r="E82" s="46">
        <f t="shared" si="22"/>
        <v>265632</v>
      </c>
      <c r="F82" s="46">
        <f>SUM(F74:F81)</f>
        <v>29514.666666666664</v>
      </c>
      <c r="G82" s="46"/>
      <c r="H82" s="57">
        <f t="shared" si="22"/>
        <v>8026.1799999999994</v>
      </c>
      <c r="I82" s="57">
        <f t="shared" si="22"/>
        <v>365470</v>
      </c>
      <c r="J82" s="58">
        <f t="shared" si="22"/>
        <v>30455.833333333336</v>
      </c>
      <c r="K82" s="208"/>
      <c r="L82" s="104"/>
      <c r="M82" s="104"/>
      <c r="N82" s="104"/>
      <c r="O82" s="104"/>
      <c r="P82" s="104"/>
      <c r="Q82" s="104"/>
      <c r="R82" s="104"/>
    </row>
    <row r="83" spans="1:18" ht="7.5" customHeight="1" x14ac:dyDescent="0.25">
      <c r="A83" s="231"/>
      <c r="B83" s="44"/>
      <c r="C83" s="45"/>
      <c r="D83" s="46"/>
      <c r="E83" s="46"/>
      <c r="F83" s="46"/>
      <c r="G83" s="46"/>
      <c r="H83" s="57"/>
      <c r="I83" s="57"/>
      <c r="J83" s="58"/>
      <c r="K83" s="208"/>
      <c r="L83" s="104"/>
      <c r="M83" s="104"/>
      <c r="N83" s="104"/>
      <c r="O83" s="104"/>
      <c r="P83" s="104"/>
      <c r="Q83" s="104"/>
      <c r="R83" s="104"/>
    </row>
    <row r="84" spans="1:18" x14ac:dyDescent="0.25">
      <c r="A84" s="232" t="s">
        <v>454</v>
      </c>
      <c r="B84" s="44"/>
      <c r="C84" s="45"/>
      <c r="D84" s="45"/>
      <c r="E84" s="45"/>
      <c r="F84" s="45"/>
      <c r="G84" s="45"/>
      <c r="H84" s="115"/>
      <c r="I84" s="115"/>
      <c r="J84" s="116"/>
      <c r="K84" s="208"/>
      <c r="L84" s="104"/>
      <c r="M84" s="104"/>
      <c r="N84" s="104"/>
      <c r="O84" s="104"/>
      <c r="P84" s="104"/>
      <c r="Q84" s="104"/>
      <c r="R84" s="104"/>
    </row>
    <row r="85" spans="1:18" x14ac:dyDescent="0.25">
      <c r="A85" s="231" t="s">
        <v>307</v>
      </c>
      <c r="B85" s="44">
        <v>3</v>
      </c>
      <c r="C85" s="118">
        <v>174358.63</v>
      </c>
      <c r="D85" s="57">
        <v>23400</v>
      </c>
      <c r="E85" s="46">
        <v>13934</v>
      </c>
      <c r="F85" s="46">
        <f>E85/9</f>
        <v>1548.2222222222222</v>
      </c>
      <c r="G85" s="46"/>
      <c r="H85" s="57">
        <v>0</v>
      </c>
      <c r="I85" s="57">
        <v>15850</v>
      </c>
      <c r="J85" s="58">
        <f>I85/12</f>
        <v>1320.8333333333333</v>
      </c>
      <c r="K85" s="101" t="s">
        <v>507</v>
      </c>
      <c r="L85" s="104"/>
      <c r="M85" s="104"/>
      <c r="N85" s="104"/>
      <c r="O85" s="104"/>
      <c r="P85" s="104"/>
      <c r="Q85" s="104"/>
      <c r="R85" s="104"/>
    </row>
    <row r="86" spans="1:18" x14ac:dyDescent="0.25">
      <c r="A86" s="231" t="s">
        <v>289</v>
      </c>
      <c r="B86" s="44"/>
      <c r="C86" s="118"/>
      <c r="D86" s="57">
        <v>0</v>
      </c>
      <c r="E86" s="46">
        <v>8080</v>
      </c>
      <c r="F86" s="46">
        <f>E86/9</f>
        <v>897.77777777777783</v>
      </c>
      <c r="G86" s="46"/>
      <c r="H86" s="57"/>
      <c r="I86" s="57">
        <v>10570</v>
      </c>
      <c r="J86" s="58">
        <f>I86/12</f>
        <v>880.83333333333337</v>
      </c>
      <c r="K86" s="101" t="s">
        <v>507</v>
      </c>
      <c r="L86" s="104"/>
      <c r="M86" s="104"/>
      <c r="N86" s="104"/>
      <c r="O86" s="104"/>
      <c r="P86" s="104"/>
      <c r="Q86" s="104"/>
      <c r="R86" s="104"/>
    </row>
    <row r="87" spans="1:18" x14ac:dyDescent="0.25">
      <c r="A87" s="231" t="s">
        <v>289</v>
      </c>
      <c r="B87" s="44">
        <v>3</v>
      </c>
      <c r="C87" s="119">
        <v>277977.89</v>
      </c>
      <c r="D87" s="137">
        <v>0</v>
      </c>
      <c r="E87" s="53">
        <v>0</v>
      </c>
      <c r="F87" s="53">
        <f>E87/9</f>
        <v>0</v>
      </c>
      <c r="G87" s="53"/>
      <c r="H87" s="137">
        <v>0</v>
      </c>
      <c r="I87" s="137">
        <v>0</v>
      </c>
      <c r="J87" s="139">
        <f>I87/12</f>
        <v>0</v>
      </c>
      <c r="K87" s="101" t="s">
        <v>508</v>
      </c>
      <c r="L87" s="104"/>
      <c r="M87" s="104"/>
      <c r="N87" s="104"/>
      <c r="O87" s="104"/>
      <c r="P87" s="104"/>
      <c r="Q87" s="104"/>
      <c r="R87" s="104"/>
    </row>
    <row r="88" spans="1:18" x14ac:dyDescent="0.25">
      <c r="A88" s="232" t="s">
        <v>308</v>
      </c>
      <c r="B88" s="44"/>
      <c r="C88" s="45">
        <f>SUM(C83:C87)</f>
        <v>452336.52</v>
      </c>
      <c r="D88" s="46">
        <f t="shared" ref="D88:J88" si="23">SUM(D83:D87)</f>
        <v>23400</v>
      </c>
      <c r="E88" s="46">
        <f t="shared" si="23"/>
        <v>22014</v>
      </c>
      <c r="F88" s="46">
        <f>SUM(F85:F87)</f>
        <v>2446</v>
      </c>
      <c r="G88" s="46"/>
      <c r="H88" s="57">
        <f t="shared" si="23"/>
        <v>0</v>
      </c>
      <c r="I88" s="57">
        <f t="shared" si="23"/>
        <v>26420</v>
      </c>
      <c r="J88" s="58">
        <f t="shared" si="23"/>
        <v>2201.6666666666665</v>
      </c>
      <c r="K88" s="101"/>
      <c r="L88" s="104"/>
      <c r="M88" s="104"/>
      <c r="N88" s="104"/>
      <c r="O88" s="104"/>
      <c r="P88" s="104"/>
      <c r="Q88" s="104"/>
      <c r="R88" s="104"/>
    </row>
    <row r="89" spans="1:18" ht="7.5" customHeight="1" x14ac:dyDescent="0.25">
      <c r="A89" s="231"/>
      <c r="B89" s="44"/>
      <c r="C89" s="118"/>
      <c r="D89" s="118"/>
      <c r="E89" s="118"/>
      <c r="F89" s="118"/>
      <c r="G89" s="118"/>
      <c r="H89" s="115"/>
      <c r="I89" s="115"/>
      <c r="J89" s="116"/>
      <c r="K89" s="208"/>
      <c r="L89" s="104"/>
      <c r="M89" s="104"/>
      <c r="N89" s="104"/>
      <c r="O89" s="104"/>
      <c r="P89" s="104"/>
      <c r="Q89" s="104"/>
      <c r="R89" s="104"/>
    </row>
    <row r="90" spans="1:18" x14ac:dyDescent="0.25">
      <c r="A90" s="232" t="s">
        <v>78</v>
      </c>
      <c r="B90" s="44"/>
      <c r="C90" s="118"/>
      <c r="D90" s="118"/>
      <c r="E90" s="118"/>
      <c r="F90" s="118"/>
      <c r="G90" s="118"/>
      <c r="H90" s="115"/>
      <c r="I90" s="115"/>
      <c r="J90" s="116"/>
      <c r="K90" s="208"/>
      <c r="L90" s="104"/>
      <c r="M90" s="104"/>
      <c r="N90" s="104"/>
      <c r="O90" s="104"/>
      <c r="P90" s="104"/>
      <c r="Q90" s="104"/>
      <c r="R90" s="104"/>
    </row>
    <row r="91" spans="1:18" x14ac:dyDescent="0.25">
      <c r="A91" s="231" t="s">
        <v>63</v>
      </c>
      <c r="B91" s="44">
        <v>3</v>
      </c>
      <c r="C91" s="119">
        <v>35806.879999999997</v>
      </c>
      <c r="D91" s="53">
        <v>14070</v>
      </c>
      <c r="E91" s="53">
        <v>10557</v>
      </c>
      <c r="F91" s="53">
        <f>E91/9</f>
        <v>1173</v>
      </c>
      <c r="G91" s="53"/>
      <c r="H91" s="137">
        <v>0</v>
      </c>
      <c r="I91" s="255">
        <v>14490</v>
      </c>
      <c r="J91" s="139">
        <f t="shared" si="4"/>
        <v>1207.5</v>
      </c>
      <c r="K91" s="228" t="s">
        <v>480</v>
      </c>
      <c r="L91" s="104"/>
      <c r="M91" s="104"/>
      <c r="N91" s="104"/>
      <c r="O91" s="104"/>
      <c r="P91" s="104"/>
      <c r="Q91" s="104"/>
      <c r="R91" s="104"/>
    </row>
    <row r="92" spans="1:18" x14ac:dyDescent="0.25">
      <c r="A92" s="232" t="s">
        <v>86</v>
      </c>
      <c r="B92" s="44"/>
      <c r="C92" s="45">
        <f>SUM(C89:C91)</f>
        <v>35806.879999999997</v>
      </c>
      <c r="D92" s="46">
        <f t="shared" ref="D92:J92" si="24">SUM(D89:D91)</f>
        <v>14070</v>
      </c>
      <c r="E92" s="46">
        <f t="shared" si="24"/>
        <v>10557</v>
      </c>
      <c r="F92" s="46">
        <f>SUM(F91)</f>
        <v>1173</v>
      </c>
      <c r="G92" s="46"/>
      <c r="H92" s="57">
        <f t="shared" si="24"/>
        <v>0</v>
      </c>
      <c r="I92" s="57">
        <f t="shared" si="24"/>
        <v>14490</v>
      </c>
      <c r="J92" s="58">
        <f t="shared" si="24"/>
        <v>1207.5</v>
      </c>
      <c r="K92" s="101"/>
      <c r="L92" s="104"/>
      <c r="M92" s="104"/>
      <c r="N92" s="104"/>
      <c r="O92" s="104"/>
      <c r="P92" s="104"/>
      <c r="Q92" s="104"/>
      <c r="R92" s="104"/>
    </row>
    <row r="93" spans="1:18" ht="8.25" customHeight="1" x14ac:dyDescent="0.25">
      <c r="A93" s="232"/>
      <c r="B93" s="44"/>
      <c r="C93" s="45"/>
      <c r="D93" s="46"/>
      <c r="E93" s="46"/>
      <c r="F93" s="46"/>
      <c r="G93" s="46"/>
      <c r="H93" s="57"/>
      <c r="I93" s="57"/>
      <c r="J93" s="58"/>
      <c r="K93" s="208"/>
      <c r="L93" s="104"/>
      <c r="M93" s="104"/>
      <c r="N93" s="104"/>
      <c r="O93" s="104"/>
      <c r="P93" s="104"/>
      <c r="Q93" s="104"/>
      <c r="R93" s="104"/>
    </row>
    <row r="94" spans="1:18" hidden="1" x14ac:dyDescent="0.25">
      <c r="A94" s="231" t="s">
        <v>375</v>
      </c>
      <c r="B94" s="44">
        <v>3</v>
      </c>
      <c r="C94" s="118">
        <v>0</v>
      </c>
      <c r="D94" s="174">
        <f>C94/3</f>
        <v>0</v>
      </c>
      <c r="E94" s="174">
        <f>D94/12</f>
        <v>0</v>
      </c>
      <c r="F94" s="174">
        <f t="shared" ref="F94:F97" si="25">E94/9</f>
        <v>0</v>
      </c>
      <c r="G94" s="174"/>
      <c r="H94" s="57">
        <f>D94*$N$7</f>
        <v>0</v>
      </c>
      <c r="I94" s="57">
        <f>D94+H94</f>
        <v>0</v>
      </c>
      <c r="J94" s="58">
        <f t="shared" si="4"/>
        <v>0</v>
      </c>
      <c r="K94" s="101"/>
      <c r="L94" s="104"/>
      <c r="M94" s="104"/>
      <c r="N94" s="104"/>
      <c r="O94" s="104"/>
      <c r="P94" s="104"/>
      <c r="Q94" s="104"/>
      <c r="R94" s="104"/>
    </row>
    <row r="95" spans="1:18" hidden="1" x14ac:dyDescent="0.25">
      <c r="A95" s="231" t="s">
        <v>376</v>
      </c>
      <c r="B95" s="44">
        <v>3</v>
      </c>
      <c r="C95" s="118">
        <v>0</v>
      </c>
      <c r="D95" s="174">
        <f>C95/3</f>
        <v>0</v>
      </c>
      <c r="E95" s="174">
        <f>D95/12</f>
        <v>0</v>
      </c>
      <c r="F95" s="174">
        <f t="shared" si="25"/>
        <v>0</v>
      </c>
      <c r="G95" s="174"/>
      <c r="H95" s="57">
        <f>D95*$N$7</f>
        <v>0</v>
      </c>
      <c r="I95" s="57">
        <f>D95+H95</f>
        <v>0</v>
      </c>
      <c r="J95" s="58">
        <f t="shared" si="4"/>
        <v>0</v>
      </c>
      <c r="K95" s="208"/>
      <c r="L95" s="104"/>
      <c r="M95" s="104"/>
      <c r="N95" s="104"/>
      <c r="O95" s="104"/>
      <c r="P95" s="104"/>
      <c r="Q95" s="104"/>
      <c r="R95" s="104"/>
    </row>
    <row r="96" spans="1:18" hidden="1" x14ac:dyDescent="0.25">
      <c r="A96" s="231" t="s">
        <v>377</v>
      </c>
      <c r="B96" s="44">
        <v>3</v>
      </c>
      <c r="C96" s="118">
        <v>0</v>
      </c>
      <c r="D96" s="46">
        <f>C96/3</f>
        <v>0</v>
      </c>
      <c r="E96" s="46">
        <f>D96/12</f>
        <v>0</v>
      </c>
      <c r="F96" s="46">
        <f t="shared" si="25"/>
        <v>0</v>
      </c>
      <c r="G96" s="46"/>
      <c r="H96" s="57">
        <f>D96*$N$7</f>
        <v>0</v>
      </c>
      <c r="I96" s="57">
        <f>D96+H96</f>
        <v>0</v>
      </c>
      <c r="J96" s="58">
        <f t="shared" si="4"/>
        <v>0</v>
      </c>
      <c r="K96" s="101"/>
      <c r="L96" s="104"/>
      <c r="M96" s="104"/>
      <c r="N96" s="104"/>
      <c r="O96" s="104"/>
      <c r="P96" s="104"/>
      <c r="Q96" s="104"/>
      <c r="R96" s="104"/>
    </row>
    <row r="97" spans="1:18" hidden="1" x14ac:dyDescent="0.25">
      <c r="A97" s="231" t="s">
        <v>378</v>
      </c>
      <c r="B97" s="44">
        <v>3</v>
      </c>
      <c r="C97" s="118">
        <v>0</v>
      </c>
      <c r="D97" s="46">
        <f>C97/3</f>
        <v>0</v>
      </c>
      <c r="E97" s="46">
        <f>D97/12</f>
        <v>0</v>
      </c>
      <c r="F97" s="46">
        <f t="shared" si="25"/>
        <v>0</v>
      </c>
      <c r="G97" s="46"/>
      <c r="H97" s="57">
        <f>D97*$N$7</f>
        <v>0</v>
      </c>
      <c r="I97" s="57">
        <f>D97+H97</f>
        <v>0</v>
      </c>
      <c r="J97" s="58">
        <f t="shared" ref="J97:J104" si="26">I97/12</f>
        <v>0</v>
      </c>
      <c r="K97" s="208"/>
      <c r="L97" s="104"/>
      <c r="M97" s="104"/>
      <c r="N97" s="104"/>
      <c r="O97" s="104"/>
      <c r="P97" s="104"/>
      <c r="Q97" s="104"/>
      <c r="R97" s="104"/>
    </row>
    <row r="98" spans="1:18" x14ac:dyDescent="0.25">
      <c r="A98" s="232" t="s">
        <v>453</v>
      </c>
      <c r="B98" s="44"/>
      <c r="C98" s="118"/>
      <c r="D98" s="46"/>
      <c r="E98" s="46"/>
      <c r="F98" s="46"/>
      <c r="G98" s="46"/>
      <c r="H98" s="57"/>
      <c r="I98" s="57"/>
      <c r="J98" s="58"/>
      <c r="K98" s="208"/>
      <c r="L98" s="104"/>
      <c r="M98" s="104"/>
      <c r="N98" s="104"/>
      <c r="O98" s="104"/>
      <c r="P98" s="104"/>
      <c r="Q98" s="104"/>
      <c r="R98" s="104"/>
    </row>
    <row r="99" spans="1:18" hidden="1" x14ac:dyDescent="0.25">
      <c r="A99" s="231" t="s">
        <v>256</v>
      </c>
      <c r="B99" s="44">
        <v>3</v>
      </c>
      <c r="C99" s="118">
        <v>17108</v>
      </c>
      <c r="D99" s="46">
        <v>0</v>
      </c>
      <c r="E99" s="46">
        <v>0</v>
      </c>
      <c r="F99" s="46">
        <f>E99/9</f>
        <v>0</v>
      </c>
      <c r="G99" s="46"/>
      <c r="H99" s="57">
        <v>0</v>
      </c>
      <c r="I99" s="57">
        <v>0</v>
      </c>
      <c r="J99" s="58">
        <f t="shared" si="26"/>
        <v>0</v>
      </c>
      <c r="K99" s="101"/>
      <c r="L99" s="104"/>
      <c r="M99" s="104"/>
      <c r="N99" s="104"/>
      <c r="O99" s="104"/>
      <c r="P99" s="104"/>
      <c r="Q99" s="104"/>
      <c r="R99" s="104"/>
    </row>
    <row r="100" spans="1:18" x14ac:dyDescent="0.25">
      <c r="A100" s="231" t="s">
        <v>353</v>
      </c>
      <c r="B100" s="44">
        <v>3</v>
      </c>
      <c r="C100" s="118">
        <v>11472</v>
      </c>
      <c r="D100" s="46">
        <v>10000</v>
      </c>
      <c r="E100" s="46">
        <v>0</v>
      </c>
      <c r="F100" s="46">
        <f t="shared" ref="F100:F103" si="27">E100/9</f>
        <v>0</v>
      </c>
      <c r="G100" s="46"/>
      <c r="H100" s="57">
        <v>0</v>
      </c>
      <c r="I100" s="57">
        <v>10000</v>
      </c>
      <c r="J100" s="58">
        <f t="shared" si="26"/>
        <v>833.33333333333337</v>
      </c>
      <c r="K100" s="101" t="s">
        <v>505</v>
      </c>
      <c r="L100" s="104"/>
      <c r="M100" s="104"/>
      <c r="N100" s="104"/>
      <c r="O100" s="104"/>
      <c r="P100" s="104"/>
      <c r="Q100" s="104"/>
      <c r="R100" s="104"/>
    </row>
    <row r="101" spans="1:18" hidden="1" x14ac:dyDescent="0.25">
      <c r="A101" s="231" t="s">
        <v>354</v>
      </c>
      <c r="B101" s="44">
        <v>3</v>
      </c>
      <c r="C101" s="118">
        <v>9276.7099999999991</v>
      </c>
      <c r="D101" s="46">
        <v>0</v>
      </c>
      <c r="E101" s="46">
        <v>0</v>
      </c>
      <c r="F101" s="46">
        <f t="shared" si="27"/>
        <v>0</v>
      </c>
      <c r="G101" s="46"/>
      <c r="H101" s="57">
        <v>0</v>
      </c>
      <c r="I101" s="57">
        <v>0</v>
      </c>
      <c r="J101" s="58">
        <f t="shared" si="26"/>
        <v>0</v>
      </c>
      <c r="L101" s="104"/>
      <c r="M101" s="104"/>
      <c r="N101" s="104"/>
      <c r="O101" s="104"/>
      <c r="P101" s="104"/>
      <c r="Q101" s="104"/>
      <c r="R101" s="104"/>
    </row>
    <row r="102" spans="1:18" hidden="1" x14ac:dyDescent="0.25">
      <c r="A102" s="231" t="s">
        <v>64</v>
      </c>
      <c r="B102" s="44">
        <v>3</v>
      </c>
      <c r="C102" s="118">
        <v>2466.65</v>
      </c>
      <c r="D102" s="46">
        <v>0</v>
      </c>
      <c r="E102" s="46">
        <f>D102/12</f>
        <v>0</v>
      </c>
      <c r="F102" s="46">
        <f t="shared" si="27"/>
        <v>0</v>
      </c>
      <c r="G102" s="46"/>
      <c r="H102" s="57">
        <f>D102*$N$7</f>
        <v>0</v>
      </c>
      <c r="I102" s="57">
        <v>0</v>
      </c>
      <c r="J102" s="58">
        <f t="shared" si="26"/>
        <v>0</v>
      </c>
      <c r="K102" s="101"/>
      <c r="L102" s="104"/>
      <c r="M102" s="104"/>
      <c r="N102" s="104"/>
      <c r="O102" s="104"/>
      <c r="P102" s="104"/>
      <c r="Q102" s="104"/>
      <c r="R102" s="104"/>
    </row>
    <row r="103" spans="1:18" hidden="1" x14ac:dyDescent="0.25">
      <c r="A103" s="231" t="s">
        <v>26</v>
      </c>
      <c r="B103" s="44">
        <v>3</v>
      </c>
      <c r="C103" s="118">
        <v>14856.41</v>
      </c>
      <c r="D103" s="46">
        <v>0</v>
      </c>
      <c r="E103" s="46">
        <v>0</v>
      </c>
      <c r="F103" s="46">
        <f t="shared" si="27"/>
        <v>0</v>
      </c>
      <c r="G103" s="46"/>
      <c r="H103" s="57">
        <f>D103*$N$7</f>
        <v>0</v>
      </c>
      <c r="I103" s="57">
        <v>0</v>
      </c>
      <c r="J103" s="58">
        <f t="shared" si="26"/>
        <v>0</v>
      </c>
      <c r="K103" s="101"/>
      <c r="L103" s="104"/>
      <c r="M103" s="104"/>
      <c r="N103" s="104"/>
      <c r="O103" s="104"/>
      <c r="P103" s="104"/>
      <c r="Q103" s="104"/>
      <c r="R103" s="104"/>
    </row>
    <row r="104" spans="1:18" x14ac:dyDescent="0.25">
      <c r="A104" s="231" t="s">
        <v>65</v>
      </c>
      <c r="B104" s="44">
        <v>3</v>
      </c>
      <c r="C104" s="119">
        <v>1167.5</v>
      </c>
      <c r="D104" s="53">
        <v>0</v>
      </c>
      <c r="E104" s="53">
        <v>0</v>
      </c>
      <c r="F104" s="53">
        <f>E104/9</f>
        <v>0</v>
      </c>
      <c r="G104" s="53"/>
      <c r="H104" s="137">
        <v>0</v>
      </c>
      <c r="I104" s="137">
        <v>4200</v>
      </c>
      <c r="J104" s="139">
        <f t="shared" si="26"/>
        <v>350</v>
      </c>
      <c r="K104" s="101" t="s">
        <v>544</v>
      </c>
      <c r="L104" s="104"/>
      <c r="M104" s="104"/>
      <c r="N104" s="104"/>
      <c r="O104" s="104"/>
      <c r="P104" s="104"/>
      <c r="Q104" s="104"/>
      <c r="R104" s="104"/>
    </row>
    <row r="105" spans="1:18" ht="15.75" thickBot="1" x14ac:dyDescent="0.3">
      <c r="A105" s="233" t="s">
        <v>314</v>
      </c>
      <c r="B105" s="236"/>
      <c r="C105" s="237">
        <f>SUM(C99:C104)</f>
        <v>56347.270000000004</v>
      </c>
      <c r="D105" s="256">
        <f t="shared" ref="D105:E105" si="28">SUM(D96:D104)</f>
        <v>10000</v>
      </c>
      <c r="E105" s="256">
        <f t="shared" si="28"/>
        <v>0</v>
      </c>
      <c r="F105" s="256">
        <f>SUM(F93:F104)</f>
        <v>0</v>
      </c>
      <c r="G105" s="256"/>
      <c r="H105" s="257">
        <f>SUM(H96:H104)</f>
        <v>0</v>
      </c>
      <c r="I105" s="258">
        <f>SUM(I96:I104)</f>
        <v>14200</v>
      </c>
      <c r="J105" s="259">
        <f>SUM(J96:J104)</f>
        <v>1183.3333333333335</v>
      </c>
      <c r="K105" s="101"/>
      <c r="L105" s="104"/>
      <c r="M105" s="104"/>
      <c r="N105" s="104"/>
      <c r="O105" s="104"/>
      <c r="P105" s="104"/>
      <c r="Q105" s="104"/>
      <c r="R105" s="104"/>
    </row>
    <row r="106" spans="1:18" x14ac:dyDescent="0.25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101"/>
      <c r="L106" s="104"/>
      <c r="M106" s="104"/>
      <c r="N106" s="104"/>
      <c r="O106" s="104"/>
      <c r="P106" s="104"/>
      <c r="Q106" s="104"/>
      <c r="R106" s="104"/>
    </row>
    <row r="107" spans="1:18" x14ac:dyDescent="0.25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</row>
  </sheetData>
  <customSheetViews>
    <customSheetView guid="{D54A66AC-88E3-46FB-AFE3-2E559F565FEB}" scale="90" hiddenRows="1" hiddenColumns="1">
      <pane xSplit="2" ySplit="4" topLeftCell="D9" activePane="bottomRight" state="frozen"/>
      <selection pane="bottomRight" activeCell="E33" sqref="E33"/>
      <pageMargins left="0.75" right="0.75" top="1" bottom="1" header="0.5" footer="0.5"/>
      <pageSetup scale="44" fitToHeight="2" orientation="portrait" r:id="rId1"/>
      <headerFooter alignWithMargins="0"/>
    </customSheetView>
  </customSheetViews>
  <pageMargins left="0.75" right="0.75" top="1" bottom="1" header="0.5" footer="0.5"/>
  <pageSetup scale="44" fitToHeight="2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opLeftCell="C65" workbookViewId="0">
      <selection activeCell="F96" sqref="F96"/>
    </sheetView>
  </sheetViews>
  <sheetFormatPr defaultRowHeight="15" x14ac:dyDescent="0.25"/>
  <cols>
    <col min="1" max="1" width="14.42578125" bestFit="1" customWidth="1"/>
    <col min="2" max="2" width="27.7109375" bestFit="1" customWidth="1"/>
    <col min="3" max="3" width="7" bestFit="1" customWidth="1"/>
    <col min="4" max="4" width="4.140625" bestFit="1" customWidth="1"/>
    <col min="5" max="5" width="12" bestFit="1" customWidth="1"/>
    <col min="6" max="6" width="10.7109375" bestFit="1" customWidth="1"/>
    <col min="7" max="13" width="9.85546875" bestFit="1" customWidth="1"/>
    <col min="14" max="14" width="10.7109375" bestFit="1" customWidth="1"/>
    <col min="15" max="17" width="9.85546875" bestFit="1" customWidth="1"/>
    <col min="18" max="18" width="12" bestFit="1" customWidth="1"/>
    <col min="19" max="19" width="13.85546875" bestFit="1" customWidth="1"/>
    <col min="20" max="20" width="11.42578125" bestFit="1" customWidth="1"/>
  </cols>
  <sheetData>
    <row r="1" spans="1:20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</row>
    <row r="2" spans="1:20" x14ac:dyDescent="0.25">
      <c r="A2" s="8" t="s">
        <v>89</v>
      </c>
      <c r="B2" s="5" t="s">
        <v>187</v>
      </c>
      <c r="C2" s="6" t="s">
        <v>66</v>
      </c>
      <c r="D2" s="6"/>
      <c r="E2" s="7">
        <v>150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150</v>
      </c>
      <c r="S2" s="5">
        <v>201312</v>
      </c>
      <c r="T2" s="15" t="s">
        <v>233</v>
      </c>
    </row>
    <row r="3" spans="1:20" x14ac:dyDescent="0.25">
      <c r="A3" s="9" t="s">
        <v>90</v>
      </c>
      <c r="B3" s="2" t="s">
        <v>188</v>
      </c>
      <c r="C3" s="3" t="s">
        <v>66</v>
      </c>
      <c r="D3" s="3"/>
      <c r="E3" s="4">
        <v>76601.600000000006</v>
      </c>
      <c r="F3" s="4">
        <v>-4823.08</v>
      </c>
      <c r="G3" s="4">
        <v>39977.160000000003</v>
      </c>
      <c r="H3" s="4">
        <v>-44604.35</v>
      </c>
      <c r="I3" s="4">
        <v>-43356.37</v>
      </c>
      <c r="J3" s="4">
        <v>10933.69</v>
      </c>
      <c r="K3" s="4">
        <v>2030.79</v>
      </c>
      <c r="L3" s="4">
        <v>18739.23</v>
      </c>
      <c r="M3" s="4">
        <v>-10718.19</v>
      </c>
      <c r="N3" s="4">
        <v>21387.42</v>
      </c>
      <c r="O3" s="4">
        <v>-21802.14</v>
      </c>
      <c r="P3" s="4">
        <v>33366.550000000003</v>
      </c>
      <c r="Q3" s="4">
        <v>16166.42</v>
      </c>
      <c r="R3" s="4">
        <v>93898.73</v>
      </c>
      <c r="S3" s="2">
        <v>201312</v>
      </c>
      <c r="T3" s="16" t="s">
        <v>233</v>
      </c>
    </row>
    <row r="4" spans="1:20" x14ac:dyDescent="0.25">
      <c r="A4" s="9" t="s">
        <v>91</v>
      </c>
      <c r="B4" s="2" t="s">
        <v>20</v>
      </c>
      <c r="C4" s="3" t="s">
        <v>66</v>
      </c>
      <c r="D4" s="3"/>
      <c r="E4" s="4">
        <v>-7326.27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-7326.27</v>
      </c>
      <c r="S4" s="2">
        <v>201312</v>
      </c>
      <c r="T4" s="16" t="s">
        <v>233</v>
      </c>
    </row>
    <row r="5" spans="1:20" x14ac:dyDescent="0.25">
      <c r="A5" s="9" t="s">
        <v>92</v>
      </c>
      <c r="B5" s="2" t="s">
        <v>21</v>
      </c>
      <c r="C5" s="3" t="s">
        <v>66</v>
      </c>
      <c r="D5" s="3"/>
      <c r="E5" s="4">
        <v>7326.42</v>
      </c>
      <c r="F5" s="4">
        <v>-20</v>
      </c>
      <c r="G5" s="4">
        <v>-4792.7</v>
      </c>
      <c r="H5" s="4">
        <v>6612.78</v>
      </c>
      <c r="I5" s="4">
        <v>-4541.22</v>
      </c>
      <c r="J5" s="4">
        <v>-206.84</v>
      </c>
      <c r="K5" s="4">
        <v>19941.189999999999</v>
      </c>
      <c r="L5" s="4">
        <v>310</v>
      </c>
      <c r="M5" s="4">
        <v>0</v>
      </c>
      <c r="N5" s="4">
        <v>-671.95</v>
      </c>
      <c r="O5" s="4">
        <v>-100</v>
      </c>
      <c r="P5" s="4">
        <v>-300</v>
      </c>
      <c r="Q5" s="4">
        <v>-3787.79</v>
      </c>
      <c r="R5" s="4">
        <v>19769.89</v>
      </c>
      <c r="S5" s="2">
        <v>201312</v>
      </c>
      <c r="T5" s="16" t="s">
        <v>233</v>
      </c>
    </row>
    <row r="6" spans="1:20" x14ac:dyDescent="0.25">
      <c r="A6" s="9" t="s">
        <v>93</v>
      </c>
      <c r="B6" s="2" t="s">
        <v>22</v>
      </c>
      <c r="C6" s="3" t="s">
        <v>66</v>
      </c>
      <c r="D6" s="3"/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2">
        <v>201312</v>
      </c>
      <c r="T6" s="16" t="s">
        <v>233</v>
      </c>
    </row>
    <row r="7" spans="1:20" x14ac:dyDescent="0.25">
      <c r="A7" s="9" t="s">
        <v>94</v>
      </c>
      <c r="B7" s="2" t="s">
        <v>189</v>
      </c>
      <c r="C7" s="3" t="s">
        <v>66</v>
      </c>
      <c r="D7" s="3"/>
      <c r="E7" s="4">
        <v>6514.29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6514.29</v>
      </c>
      <c r="S7" s="2">
        <v>201312</v>
      </c>
      <c r="T7" s="16" t="s">
        <v>233</v>
      </c>
    </row>
    <row r="8" spans="1:20" x14ac:dyDescent="0.25">
      <c r="A8" s="9" t="s">
        <v>95</v>
      </c>
      <c r="B8" s="2" t="s">
        <v>23</v>
      </c>
      <c r="C8" s="3" t="s">
        <v>66</v>
      </c>
      <c r="D8" s="3"/>
      <c r="E8" s="4">
        <v>36746.28</v>
      </c>
      <c r="F8" s="4">
        <v>3.12</v>
      </c>
      <c r="G8" s="4">
        <v>2.82</v>
      </c>
      <c r="H8" s="4">
        <v>2.92</v>
      </c>
      <c r="I8" s="4">
        <v>3.22</v>
      </c>
      <c r="J8" s="4">
        <v>3.12</v>
      </c>
      <c r="K8" s="4">
        <v>2.82</v>
      </c>
      <c r="L8" s="4">
        <v>3.32</v>
      </c>
      <c r="M8" s="4">
        <v>3.02</v>
      </c>
      <c r="N8" s="4">
        <v>3.12</v>
      </c>
      <c r="O8" s="4">
        <v>3.12</v>
      </c>
      <c r="P8" s="4">
        <v>2.92</v>
      </c>
      <c r="Q8" s="4">
        <v>553.23</v>
      </c>
      <c r="R8" s="4">
        <v>37333.03</v>
      </c>
      <c r="S8" s="2">
        <v>201312</v>
      </c>
      <c r="T8" s="16" t="s">
        <v>233</v>
      </c>
    </row>
    <row r="9" spans="1:20" x14ac:dyDescent="0.25">
      <c r="A9" s="9" t="s">
        <v>96</v>
      </c>
      <c r="B9" s="2" t="s">
        <v>190</v>
      </c>
      <c r="C9" s="3" t="s">
        <v>66</v>
      </c>
      <c r="D9" s="3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2">
        <v>201312</v>
      </c>
      <c r="T9" s="16" t="s">
        <v>233</v>
      </c>
    </row>
    <row r="10" spans="1:20" x14ac:dyDescent="0.25">
      <c r="A10" s="9" t="s">
        <v>97</v>
      </c>
      <c r="B10" s="2" t="s">
        <v>24</v>
      </c>
      <c r="C10" s="3" t="s">
        <v>66</v>
      </c>
      <c r="D10" s="3"/>
      <c r="E10" s="4">
        <v>118144.53</v>
      </c>
      <c r="F10" s="4">
        <v>3015.31</v>
      </c>
      <c r="G10" s="4">
        <v>3014.2</v>
      </c>
      <c r="H10" s="4">
        <v>3015.07</v>
      </c>
      <c r="I10" s="4">
        <v>3017.05</v>
      </c>
      <c r="J10" s="4">
        <v>3016.95</v>
      </c>
      <c r="K10" s="4">
        <v>3015.6</v>
      </c>
      <c r="L10" s="4">
        <v>3018.81</v>
      </c>
      <c r="M10" s="4">
        <v>3017.53</v>
      </c>
      <c r="N10" s="4">
        <v>3018.44</v>
      </c>
      <c r="O10" s="4">
        <v>3018.86</v>
      </c>
      <c r="P10" s="4">
        <v>3017.95</v>
      </c>
      <c r="Q10" s="4">
        <v>3020.22</v>
      </c>
      <c r="R10" s="4">
        <v>154350.51999999999</v>
      </c>
      <c r="S10" s="2">
        <v>201312</v>
      </c>
      <c r="T10" s="16" t="s">
        <v>233</v>
      </c>
    </row>
    <row r="11" spans="1:20" x14ac:dyDescent="0.25">
      <c r="A11" s="9" t="s">
        <v>98</v>
      </c>
      <c r="B11" s="2" t="s">
        <v>191</v>
      </c>
      <c r="C11" s="3" t="s">
        <v>66</v>
      </c>
      <c r="D11" s="3"/>
      <c r="E11" s="4">
        <v>344596.16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344596.16</v>
      </c>
      <c r="S11" s="2">
        <v>201312</v>
      </c>
      <c r="T11" s="16" t="s">
        <v>233</v>
      </c>
    </row>
    <row r="12" spans="1:20" x14ac:dyDescent="0.25">
      <c r="A12" s="9" t="s">
        <v>99</v>
      </c>
      <c r="B12" s="2" t="s">
        <v>192</v>
      </c>
      <c r="C12" s="3" t="s">
        <v>66</v>
      </c>
      <c r="D12" s="3"/>
      <c r="E12" s="4">
        <v>3216151.2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3216151.2</v>
      </c>
      <c r="S12" s="2">
        <v>201312</v>
      </c>
      <c r="T12" s="16" t="s">
        <v>233</v>
      </c>
    </row>
    <row r="13" spans="1:20" x14ac:dyDescent="0.25">
      <c r="A13" s="9" t="s">
        <v>100</v>
      </c>
      <c r="B13" s="2" t="s">
        <v>25</v>
      </c>
      <c r="C13" s="3" t="s">
        <v>66</v>
      </c>
      <c r="D13" s="3"/>
      <c r="E13" s="4">
        <v>188933.91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188933.91</v>
      </c>
      <c r="S13" s="2">
        <v>201312</v>
      </c>
      <c r="T13" s="16" t="s">
        <v>233</v>
      </c>
    </row>
    <row r="14" spans="1:20" x14ac:dyDescent="0.25">
      <c r="A14" s="9" t="s">
        <v>101</v>
      </c>
      <c r="B14" s="2" t="s">
        <v>193</v>
      </c>
      <c r="C14" s="3" t="s">
        <v>66</v>
      </c>
      <c r="D14" s="3"/>
      <c r="E14" s="4">
        <v>237394.89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-130205.5</v>
      </c>
      <c r="O14" s="4">
        <v>0</v>
      </c>
      <c r="P14" s="4">
        <v>0</v>
      </c>
      <c r="Q14" s="4">
        <v>0</v>
      </c>
      <c r="R14" s="4">
        <v>107189.39</v>
      </c>
      <c r="S14" s="2">
        <v>201312</v>
      </c>
      <c r="T14" s="16" t="s">
        <v>233</v>
      </c>
    </row>
    <row r="15" spans="1:20" x14ac:dyDescent="0.25">
      <c r="A15" s="9" t="s">
        <v>102</v>
      </c>
      <c r="B15" s="2" t="s">
        <v>194</v>
      </c>
      <c r="C15" s="3" t="s">
        <v>66</v>
      </c>
      <c r="D15" s="3"/>
      <c r="E15" s="4">
        <v>84718.99</v>
      </c>
      <c r="F15" s="4">
        <v>0</v>
      </c>
      <c r="G15" s="4">
        <v>0</v>
      </c>
      <c r="H15" s="4">
        <v>564</v>
      </c>
      <c r="I15" s="4">
        <v>2717</v>
      </c>
      <c r="J15" s="4">
        <v>651</v>
      </c>
      <c r="K15" s="4">
        <v>1620</v>
      </c>
      <c r="L15" s="4">
        <v>0</v>
      </c>
      <c r="M15" s="4">
        <v>0</v>
      </c>
      <c r="N15" s="4">
        <v>2736</v>
      </c>
      <c r="O15" s="4">
        <v>0</v>
      </c>
      <c r="P15" s="4">
        <v>1391</v>
      </c>
      <c r="Q15" s="4">
        <v>564</v>
      </c>
      <c r="R15" s="4">
        <v>94961.99</v>
      </c>
      <c r="S15" s="2">
        <v>201312</v>
      </c>
      <c r="T15" s="16" t="s">
        <v>233</v>
      </c>
    </row>
    <row r="16" spans="1:20" x14ac:dyDescent="0.25">
      <c r="A16" s="9" t="s">
        <v>103</v>
      </c>
      <c r="B16" s="2" t="s">
        <v>195</v>
      </c>
      <c r="C16" s="3" t="s">
        <v>66</v>
      </c>
      <c r="D16" s="3"/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">
        <v>201312</v>
      </c>
      <c r="T16" s="16" t="s">
        <v>233</v>
      </c>
    </row>
    <row r="17" spans="1:20" x14ac:dyDescent="0.25">
      <c r="A17" s="9" t="s">
        <v>104</v>
      </c>
      <c r="B17" s="2" t="s">
        <v>64</v>
      </c>
      <c r="C17" s="3" t="s">
        <v>66</v>
      </c>
      <c r="D17" s="3"/>
      <c r="E17" s="4">
        <v>600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600</v>
      </c>
      <c r="S17" s="2">
        <v>201312</v>
      </c>
      <c r="T17" s="16" t="s">
        <v>233</v>
      </c>
    </row>
    <row r="18" spans="1:20" x14ac:dyDescent="0.25">
      <c r="A18" s="9" t="s">
        <v>105</v>
      </c>
      <c r="B18" s="2" t="s">
        <v>26</v>
      </c>
      <c r="C18" s="3" t="s">
        <v>66</v>
      </c>
      <c r="D18" s="3"/>
      <c r="E18" s="4">
        <v>166956.41</v>
      </c>
      <c r="F18" s="4">
        <v>112.5</v>
      </c>
      <c r="G18" s="4">
        <v>1527.09</v>
      </c>
      <c r="H18" s="4">
        <v>1510.08</v>
      </c>
      <c r="I18" s="4">
        <v>1046.95</v>
      </c>
      <c r="J18" s="4">
        <v>2328.7199999999998</v>
      </c>
      <c r="K18" s="4">
        <v>-835.04</v>
      </c>
      <c r="L18" s="4">
        <v>2569.65</v>
      </c>
      <c r="M18" s="4">
        <v>3025.74</v>
      </c>
      <c r="N18" s="4">
        <v>-81034.23</v>
      </c>
      <c r="O18" s="4">
        <v>137.84</v>
      </c>
      <c r="P18" s="4">
        <v>0</v>
      </c>
      <c r="Q18" s="4">
        <v>173.05</v>
      </c>
      <c r="R18" s="4">
        <v>97518.76</v>
      </c>
      <c r="S18" s="2">
        <v>201312</v>
      </c>
      <c r="T18" s="16" t="s">
        <v>233</v>
      </c>
    </row>
    <row r="19" spans="1:20" x14ac:dyDescent="0.25">
      <c r="A19" s="9" t="s">
        <v>106</v>
      </c>
      <c r="B19" s="2" t="s">
        <v>65</v>
      </c>
      <c r="C19" s="3" t="s">
        <v>66</v>
      </c>
      <c r="D19" s="3"/>
      <c r="E19" s="4">
        <v>45157.05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-2500</v>
      </c>
      <c r="O19" s="4">
        <v>0</v>
      </c>
      <c r="P19" s="4">
        <v>0</v>
      </c>
      <c r="Q19" s="4">
        <v>0</v>
      </c>
      <c r="R19" s="4">
        <v>42657.05</v>
      </c>
      <c r="S19" s="2">
        <v>201312</v>
      </c>
      <c r="T19" s="16" t="s">
        <v>233</v>
      </c>
    </row>
    <row r="20" spans="1:20" x14ac:dyDescent="0.25">
      <c r="A20" s="9" t="s">
        <v>107</v>
      </c>
      <c r="B20" s="2" t="s">
        <v>27</v>
      </c>
      <c r="C20" s="3" t="s">
        <v>67</v>
      </c>
      <c r="D20" s="3"/>
      <c r="E20" s="4">
        <v>-883041.48</v>
      </c>
      <c r="F20" s="4">
        <v>-7256.87</v>
      </c>
      <c r="G20" s="4">
        <v>-26259.4</v>
      </c>
      <c r="H20" s="4">
        <v>46336.87</v>
      </c>
      <c r="I20" s="4">
        <v>47692.89</v>
      </c>
      <c r="J20" s="4">
        <v>-8116.26</v>
      </c>
      <c r="K20" s="4">
        <v>3023.5</v>
      </c>
      <c r="L20" s="4">
        <v>-10789.91</v>
      </c>
      <c r="M20" s="4">
        <v>6470.32</v>
      </c>
      <c r="N20" s="4">
        <v>-10768.02</v>
      </c>
      <c r="O20" s="4">
        <v>24915.18</v>
      </c>
      <c r="P20" s="4">
        <v>-12655.33</v>
      </c>
      <c r="Q20" s="4">
        <v>9559.61</v>
      </c>
      <c r="R20" s="4">
        <v>-820888.9</v>
      </c>
      <c r="S20" s="2">
        <v>201312</v>
      </c>
      <c r="T20" s="16" t="s">
        <v>233</v>
      </c>
    </row>
    <row r="21" spans="1:20" x14ac:dyDescent="0.25">
      <c r="A21" s="9" t="s">
        <v>108</v>
      </c>
      <c r="B21" s="2" t="s">
        <v>28</v>
      </c>
      <c r="C21" s="3" t="s">
        <v>67</v>
      </c>
      <c r="D21" s="3"/>
      <c r="E21" s="4">
        <v>-9334.51</v>
      </c>
      <c r="F21" s="4">
        <v>9334.51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-8834.76</v>
      </c>
      <c r="R21" s="4">
        <v>-8834.76</v>
      </c>
      <c r="S21" s="2">
        <v>201312</v>
      </c>
      <c r="T21" s="16" t="s">
        <v>233</v>
      </c>
    </row>
    <row r="22" spans="1:20" x14ac:dyDescent="0.25">
      <c r="A22" s="9" t="s">
        <v>109</v>
      </c>
      <c r="B22" s="2" t="s">
        <v>29</v>
      </c>
      <c r="C22" s="3" t="s">
        <v>67</v>
      </c>
      <c r="D22" s="3"/>
      <c r="E22" s="4">
        <v>-45577.03</v>
      </c>
      <c r="F22" s="4">
        <v>-3553.94</v>
      </c>
      <c r="G22" s="4">
        <v>-3968.59</v>
      </c>
      <c r="H22" s="4">
        <v>9296.83</v>
      </c>
      <c r="I22" s="4">
        <v>150.97</v>
      </c>
      <c r="J22" s="4">
        <v>-3122</v>
      </c>
      <c r="K22" s="4">
        <v>-54.98</v>
      </c>
      <c r="L22" s="4">
        <v>-3618.95</v>
      </c>
      <c r="M22" s="4">
        <v>3716.08</v>
      </c>
      <c r="N22" s="4">
        <v>-3490.44</v>
      </c>
      <c r="O22" s="4">
        <v>10921.81</v>
      </c>
      <c r="P22" s="4">
        <v>-3278.51</v>
      </c>
      <c r="Q22" s="4">
        <v>3562.83</v>
      </c>
      <c r="R22" s="4">
        <v>-39015.919999999998</v>
      </c>
      <c r="S22" s="2">
        <v>201312</v>
      </c>
      <c r="T22" s="16" t="s">
        <v>233</v>
      </c>
    </row>
    <row r="23" spans="1:20" x14ac:dyDescent="0.25">
      <c r="A23" s="9" t="s">
        <v>110</v>
      </c>
      <c r="B23" s="2" t="s">
        <v>30</v>
      </c>
      <c r="C23" s="3" t="s">
        <v>67</v>
      </c>
      <c r="D23" s="3"/>
      <c r="E23" s="4">
        <v>-24110</v>
      </c>
      <c r="F23" s="4">
        <v>-250</v>
      </c>
      <c r="G23" s="4">
        <v>-750</v>
      </c>
      <c r="H23" s="4">
        <v>1048</v>
      </c>
      <c r="I23" s="4">
        <v>-500</v>
      </c>
      <c r="J23" s="4">
        <v>-250</v>
      </c>
      <c r="K23" s="4">
        <v>693</v>
      </c>
      <c r="L23" s="4">
        <v>-2000</v>
      </c>
      <c r="M23" s="4">
        <v>-1000</v>
      </c>
      <c r="N23" s="4">
        <v>2198</v>
      </c>
      <c r="O23" s="4">
        <v>0</v>
      </c>
      <c r="P23" s="4">
        <v>-750</v>
      </c>
      <c r="Q23" s="4">
        <v>1150</v>
      </c>
      <c r="R23" s="4">
        <v>-24521</v>
      </c>
      <c r="S23" s="2">
        <v>201312</v>
      </c>
      <c r="T23" s="16" t="s">
        <v>233</v>
      </c>
    </row>
    <row r="24" spans="1:20" x14ac:dyDescent="0.25">
      <c r="A24" s="9" t="s">
        <v>111</v>
      </c>
      <c r="B24" s="2" t="s">
        <v>196</v>
      </c>
      <c r="C24" s="3" t="s">
        <v>67</v>
      </c>
      <c r="D24" s="3"/>
      <c r="E24" s="4">
        <v>-11600</v>
      </c>
      <c r="F24" s="4">
        <v>-100</v>
      </c>
      <c r="G24" s="4">
        <v>-500</v>
      </c>
      <c r="H24" s="4">
        <v>200</v>
      </c>
      <c r="I24" s="4">
        <v>-400</v>
      </c>
      <c r="J24" s="4">
        <v>-800</v>
      </c>
      <c r="K24" s="4">
        <v>1000</v>
      </c>
      <c r="L24" s="4">
        <v>-500</v>
      </c>
      <c r="M24" s="4">
        <v>-1000</v>
      </c>
      <c r="N24" s="4">
        <v>360</v>
      </c>
      <c r="O24" s="4">
        <v>-100</v>
      </c>
      <c r="P24" s="4">
        <v>-300</v>
      </c>
      <c r="Q24" s="4">
        <v>1035</v>
      </c>
      <c r="R24" s="4">
        <v>-12705</v>
      </c>
      <c r="S24" s="2">
        <v>201312</v>
      </c>
      <c r="T24" s="16" t="s">
        <v>233</v>
      </c>
    </row>
    <row r="25" spans="1:20" x14ac:dyDescent="0.25">
      <c r="A25" s="9" t="s">
        <v>112</v>
      </c>
      <c r="B25" s="2" t="s">
        <v>197</v>
      </c>
      <c r="C25" s="3" t="s">
        <v>67</v>
      </c>
      <c r="D25" s="3"/>
      <c r="E25" s="4">
        <v>-5477</v>
      </c>
      <c r="F25" s="4">
        <v>5477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2">
        <v>201312</v>
      </c>
      <c r="T25" s="16" t="s">
        <v>233</v>
      </c>
    </row>
    <row r="26" spans="1:20" x14ac:dyDescent="0.25">
      <c r="A26" s="9" t="s">
        <v>113</v>
      </c>
      <c r="B26" s="2" t="s">
        <v>198</v>
      </c>
      <c r="C26" s="3" t="s">
        <v>67</v>
      </c>
      <c r="D26" s="3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">
        <v>201312</v>
      </c>
      <c r="T26" s="16" t="s">
        <v>233</v>
      </c>
    </row>
    <row r="27" spans="1:20" x14ac:dyDescent="0.25">
      <c r="A27" s="9" t="s">
        <v>114</v>
      </c>
      <c r="B27" s="2" t="s">
        <v>199</v>
      </c>
      <c r="C27" s="3" t="s">
        <v>67</v>
      </c>
      <c r="D27" s="3"/>
      <c r="E27" s="4">
        <v>-1124599.1599999999</v>
      </c>
      <c r="F27" s="4">
        <v>36838.550000000003</v>
      </c>
      <c r="G27" s="4">
        <v>18505.66</v>
      </c>
      <c r="H27" s="4">
        <v>18563.490000000002</v>
      </c>
      <c r="I27" s="4">
        <v>18621.5</v>
      </c>
      <c r="J27" s="4">
        <v>18679.7</v>
      </c>
      <c r="K27" s="4">
        <v>18738.07</v>
      </c>
      <c r="L27" s="4">
        <v>18796.63</v>
      </c>
      <c r="M27" s="4">
        <v>18855.37</v>
      </c>
      <c r="N27" s="4">
        <v>18914.29</v>
      </c>
      <c r="O27" s="4">
        <v>18973.400000000001</v>
      </c>
      <c r="P27" s="4">
        <v>19032.689999999999</v>
      </c>
      <c r="Q27" s="4">
        <v>0</v>
      </c>
      <c r="R27" s="4">
        <v>-900079.81</v>
      </c>
      <c r="S27" s="2">
        <v>201312</v>
      </c>
      <c r="T27" s="16" t="s">
        <v>233</v>
      </c>
    </row>
    <row r="28" spans="1:20" x14ac:dyDescent="0.25">
      <c r="A28" s="9" t="s">
        <v>115</v>
      </c>
      <c r="B28" s="2" t="s">
        <v>31</v>
      </c>
      <c r="C28" s="3" t="s">
        <v>66</v>
      </c>
      <c r="D28" s="3"/>
      <c r="E28" s="4">
        <v>-1721220.89</v>
      </c>
      <c r="F28" s="4">
        <v>-10966.93</v>
      </c>
      <c r="G28" s="4">
        <v>-10966.93</v>
      </c>
      <c r="H28" s="4">
        <v>-10966.93</v>
      </c>
      <c r="I28" s="4">
        <v>-10966.93</v>
      </c>
      <c r="J28" s="4">
        <v>-10814.11</v>
      </c>
      <c r="K28" s="4">
        <v>-10936.37</v>
      </c>
      <c r="L28" s="4">
        <v>-10654.71</v>
      </c>
      <c r="M28" s="4">
        <v>-10916.25</v>
      </c>
      <c r="N28" s="4">
        <v>194419.15</v>
      </c>
      <c r="O28" s="4">
        <v>-10561.04</v>
      </c>
      <c r="P28" s="4">
        <v>-10561.04</v>
      </c>
      <c r="Q28" s="4">
        <v>-8373.7000000000007</v>
      </c>
      <c r="R28" s="4">
        <v>-1643486.68</v>
      </c>
      <c r="S28" s="2">
        <v>201312</v>
      </c>
      <c r="T28" s="16" t="s">
        <v>233</v>
      </c>
    </row>
    <row r="29" spans="1:20" x14ac:dyDescent="0.25">
      <c r="A29" s="9" t="s">
        <v>116</v>
      </c>
      <c r="B29" s="2" t="s">
        <v>200</v>
      </c>
      <c r="C29" s="3" t="s">
        <v>67</v>
      </c>
      <c r="D29" s="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2">
        <v>201312</v>
      </c>
      <c r="T29" s="16" t="s">
        <v>233</v>
      </c>
    </row>
    <row r="30" spans="1:20" x14ac:dyDescent="0.25">
      <c r="A30" s="9" t="s">
        <v>117</v>
      </c>
      <c r="B30" s="2" t="s">
        <v>201</v>
      </c>
      <c r="C30" s="3" t="s">
        <v>67</v>
      </c>
      <c r="D30" s="3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">
        <v>201312</v>
      </c>
      <c r="T30" s="16" t="s">
        <v>233</v>
      </c>
    </row>
    <row r="31" spans="1:20" x14ac:dyDescent="0.25">
      <c r="A31" s="9" t="s">
        <v>118</v>
      </c>
      <c r="B31" s="2" t="s">
        <v>202</v>
      </c>
      <c r="C31" s="3" t="s">
        <v>67</v>
      </c>
      <c r="D31" s="3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">
        <v>201312</v>
      </c>
      <c r="T31" s="16" t="s">
        <v>233</v>
      </c>
    </row>
    <row r="32" spans="1:20" x14ac:dyDescent="0.25">
      <c r="A32" s="9" t="s">
        <v>119</v>
      </c>
      <c r="B32" s="2" t="s">
        <v>203</v>
      </c>
      <c r="C32" s="3" t="s">
        <v>67</v>
      </c>
      <c r="D32" s="3"/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2">
        <v>201312</v>
      </c>
      <c r="T32" s="16" t="s">
        <v>233</v>
      </c>
    </row>
    <row r="33" spans="1:20" x14ac:dyDescent="0.25">
      <c r="A33" s="9" t="s">
        <v>120</v>
      </c>
      <c r="B33" s="2" t="s">
        <v>204</v>
      </c>
      <c r="C33" s="3" t="s">
        <v>67</v>
      </c>
      <c r="D33" s="3"/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2">
        <v>201312</v>
      </c>
      <c r="T33" s="16" t="s">
        <v>233</v>
      </c>
    </row>
    <row r="34" spans="1:20" x14ac:dyDescent="0.25">
      <c r="A34" s="9" t="s">
        <v>121</v>
      </c>
      <c r="B34" s="2" t="s">
        <v>205</v>
      </c>
      <c r="C34" s="3" t="s">
        <v>67</v>
      </c>
      <c r="D34" s="3"/>
      <c r="E34" s="4">
        <v>129159.81</v>
      </c>
      <c r="F34" s="4">
        <v>257982.91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387142.72</v>
      </c>
      <c r="S34" s="2">
        <v>201312</v>
      </c>
      <c r="T34" s="16" t="s">
        <v>233</v>
      </c>
    </row>
    <row r="35" spans="1:20" x14ac:dyDescent="0.25">
      <c r="A35" s="9" t="s">
        <v>122</v>
      </c>
      <c r="B35" s="2" t="s">
        <v>206</v>
      </c>
      <c r="C35" s="3" t="s">
        <v>67</v>
      </c>
      <c r="D35" s="3"/>
      <c r="E35" s="4">
        <v>-293000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-293000</v>
      </c>
      <c r="S35" s="2">
        <v>201312</v>
      </c>
      <c r="T35" s="16" t="s">
        <v>233</v>
      </c>
    </row>
    <row r="36" spans="1:20" x14ac:dyDescent="0.25">
      <c r="A36" s="9" t="s">
        <v>123</v>
      </c>
      <c r="B36" s="2" t="s">
        <v>32</v>
      </c>
      <c r="C36" s="3" t="s">
        <v>67</v>
      </c>
      <c r="D36" s="3"/>
      <c r="E36" s="4">
        <v>418982.41</v>
      </c>
      <c r="F36" s="4">
        <v>-257982.91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160999.5</v>
      </c>
      <c r="S36" s="2">
        <v>201312</v>
      </c>
      <c r="T36" s="16" t="s">
        <v>233</v>
      </c>
    </row>
    <row r="37" spans="1:20" x14ac:dyDescent="0.25">
      <c r="A37" s="9" t="s">
        <v>124</v>
      </c>
      <c r="B37" s="2" t="s">
        <v>207</v>
      </c>
      <c r="C37" s="3" t="s">
        <v>67</v>
      </c>
      <c r="D37" s="3"/>
      <c r="E37" s="4">
        <v>-565702.05000000005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-565702.05000000005</v>
      </c>
      <c r="S37" s="2">
        <v>201312</v>
      </c>
      <c r="T37" s="16" t="s">
        <v>233</v>
      </c>
    </row>
    <row r="38" spans="1:20" x14ac:dyDescent="0.25">
      <c r="A38" s="9" t="s">
        <v>125</v>
      </c>
      <c r="B38" s="2" t="s">
        <v>33</v>
      </c>
      <c r="C38" s="3" t="s">
        <v>68</v>
      </c>
      <c r="D38" s="3"/>
      <c r="E38" s="4">
        <v>0</v>
      </c>
      <c r="F38" s="4">
        <v>-69385.33</v>
      </c>
      <c r="G38" s="4">
        <v>-67037.64</v>
      </c>
      <c r="H38" s="4">
        <v>-63816.78</v>
      </c>
      <c r="I38" s="4">
        <v>-65941.84</v>
      </c>
      <c r="J38" s="4">
        <v>-60269.87</v>
      </c>
      <c r="K38" s="4">
        <v>-74822.19</v>
      </c>
      <c r="L38" s="4">
        <v>-71363.649999999994</v>
      </c>
      <c r="M38" s="4">
        <v>-62324.74</v>
      </c>
      <c r="N38" s="4">
        <v>-68371.16</v>
      </c>
      <c r="O38" s="4">
        <v>-66418</v>
      </c>
      <c r="P38" s="4">
        <v>-67326</v>
      </c>
      <c r="Q38" s="4">
        <v>-77603.83</v>
      </c>
      <c r="R38" s="4">
        <v>-814681.03</v>
      </c>
      <c r="S38" s="2">
        <v>201312</v>
      </c>
      <c r="T38" s="16" t="s">
        <v>233</v>
      </c>
    </row>
    <row r="39" spans="1:20" x14ac:dyDescent="0.25">
      <c r="A39" s="9" t="s">
        <v>126</v>
      </c>
      <c r="B39" s="2" t="s">
        <v>208</v>
      </c>
      <c r="C39" s="3" t="s">
        <v>68</v>
      </c>
      <c r="D39" s="3"/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2">
        <v>201312</v>
      </c>
      <c r="T39" s="16" t="s">
        <v>233</v>
      </c>
    </row>
    <row r="40" spans="1:20" x14ac:dyDescent="0.25">
      <c r="A40" s="9" t="s">
        <v>127</v>
      </c>
      <c r="B40" s="2" t="s">
        <v>209</v>
      </c>
      <c r="C40" s="3" t="s">
        <v>68</v>
      </c>
      <c r="D40" s="3"/>
      <c r="E40" s="4">
        <v>0</v>
      </c>
      <c r="F40" s="4">
        <v>-2915</v>
      </c>
      <c r="G40" s="4">
        <v>-3132.5</v>
      </c>
      <c r="H40" s="4">
        <v>-3237.91</v>
      </c>
      <c r="I40" s="4">
        <v>-3254.51</v>
      </c>
      <c r="J40" s="4">
        <v>-2861.94</v>
      </c>
      <c r="K40" s="4">
        <v>-3604</v>
      </c>
      <c r="L40" s="4">
        <v>-3269.38</v>
      </c>
      <c r="M40" s="4">
        <v>-2921.3</v>
      </c>
      <c r="N40" s="4">
        <v>-3007.67</v>
      </c>
      <c r="O40" s="4">
        <v>-3177</v>
      </c>
      <c r="P40" s="4">
        <v>-3116.23</v>
      </c>
      <c r="Q40" s="4">
        <v>-3439.49</v>
      </c>
      <c r="R40" s="4">
        <v>-37936.93</v>
      </c>
      <c r="S40" s="2">
        <v>201312</v>
      </c>
      <c r="T40" s="16" t="s">
        <v>233</v>
      </c>
    </row>
    <row r="41" spans="1:20" x14ac:dyDescent="0.25">
      <c r="A41" s="9" t="s">
        <v>128</v>
      </c>
      <c r="B41" s="2" t="s">
        <v>34</v>
      </c>
      <c r="C41" s="3" t="s">
        <v>68</v>
      </c>
      <c r="D41" s="3"/>
      <c r="E41" s="4">
        <v>0</v>
      </c>
      <c r="F41" s="4">
        <v>1764</v>
      </c>
      <c r="G41" s="4">
        <v>2307</v>
      </c>
      <c r="H41" s="4">
        <v>-2618.58</v>
      </c>
      <c r="I41" s="4">
        <v>0</v>
      </c>
      <c r="J41" s="4">
        <v>0</v>
      </c>
      <c r="K41" s="4">
        <v>467.78</v>
      </c>
      <c r="L41" s="4">
        <v>2171</v>
      </c>
      <c r="M41" s="4">
        <v>1400</v>
      </c>
      <c r="N41" s="4">
        <v>5272.78</v>
      </c>
      <c r="O41" s="4">
        <v>0</v>
      </c>
      <c r="P41" s="4">
        <v>1815</v>
      </c>
      <c r="Q41" s="4">
        <v>-2144.3200000000002</v>
      </c>
      <c r="R41" s="4">
        <v>10434.66</v>
      </c>
      <c r="S41" s="2">
        <v>201312</v>
      </c>
      <c r="T41" s="16" t="s">
        <v>233</v>
      </c>
    </row>
    <row r="42" spans="1:20" x14ac:dyDescent="0.25">
      <c r="A42" s="9" t="s">
        <v>129</v>
      </c>
      <c r="B42" s="2" t="s">
        <v>35</v>
      </c>
      <c r="C42" s="3" t="s">
        <v>68</v>
      </c>
      <c r="D42" s="3"/>
      <c r="E42" s="4">
        <v>0</v>
      </c>
      <c r="F42" s="4">
        <v>-18.43</v>
      </c>
      <c r="G42" s="4">
        <v>-17.02</v>
      </c>
      <c r="H42" s="4">
        <v>-17.989999999999998</v>
      </c>
      <c r="I42" s="4">
        <v>-20.27</v>
      </c>
      <c r="J42" s="4">
        <v>-20.07</v>
      </c>
      <c r="K42" s="4">
        <v>-18.420000000000002</v>
      </c>
      <c r="L42" s="4">
        <v>-22.13</v>
      </c>
      <c r="M42" s="4">
        <v>-20.55</v>
      </c>
      <c r="N42" s="4">
        <v>-21.56</v>
      </c>
      <c r="O42" s="4">
        <v>-21.98</v>
      </c>
      <c r="P42" s="4">
        <v>-20.87</v>
      </c>
      <c r="Q42" s="4">
        <v>-23.45</v>
      </c>
      <c r="R42" s="4">
        <v>-242.74</v>
      </c>
      <c r="S42" s="2">
        <v>201312</v>
      </c>
      <c r="T42" s="16" t="s">
        <v>233</v>
      </c>
    </row>
    <row r="43" spans="1:20" x14ac:dyDescent="0.25">
      <c r="A43" s="9" t="s">
        <v>130</v>
      </c>
      <c r="B43" s="2" t="s">
        <v>210</v>
      </c>
      <c r="C43" s="3" t="s">
        <v>68</v>
      </c>
      <c r="D43" s="3"/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2">
        <v>201312</v>
      </c>
      <c r="T43" s="16" t="s">
        <v>233</v>
      </c>
    </row>
    <row r="44" spans="1:20" x14ac:dyDescent="0.25">
      <c r="A44" s="9" t="s">
        <v>131</v>
      </c>
      <c r="B44" s="2" t="s">
        <v>36</v>
      </c>
      <c r="C44" s="3" t="s">
        <v>68</v>
      </c>
      <c r="D44" s="3"/>
      <c r="E44" s="4">
        <v>0</v>
      </c>
      <c r="F44" s="4">
        <v>-603.26</v>
      </c>
      <c r="G44" s="4">
        <v>-961.42</v>
      </c>
      <c r="H44" s="4">
        <v>-889.36</v>
      </c>
      <c r="I44" s="4">
        <v>-893.71</v>
      </c>
      <c r="J44" s="4">
        <v>-891.08</v>
      </c>
      <c r="K44" s="4">
        <v>-921.67</v>
      </c>
      <c r="L44" s="4">
        <v>-752.79</v>
      </c>
      <c r="M44" s="4">
        <v>-860.93</v>
      </c>
      <c r="N44" s="4">
        <v>-920.29</v>
      </c>
      <c r="O44" s="4">
        <v>-906.18</v>
      </c>
      <c r="P44" s="4">
        <v>-927.05</v>
      </c>
      <c r="Q44" s="4">
        <v>-759.97</v>
      </c>
      <c r="R44" s="4">
        <v>-10287.709999999999</v>
      </c>
      <c r="S44" s="2">
        <v>201312</v>
      </c>
      <c r="T44" s="16" t="s">
        <v>233</v>
      </c>
    </row>
    <row r="45" spans="1:20" x14ac:dyDescent="0.25">
      <c r="A45" s="9" t="s">
        <v>132</v>
      </c>
      <c r="B45" s="2" t="s">
        <v>37</v>
      </c>
      <c r="C45" s="3" t="s">
        <v>68</v>
      </c>
      <c r="D45" s="3"/>
      <c r="E45" s="4">
        <v>0</v>
      </c>
      <c r="F45" s="4">
        <v>-1310</v>
      </c>
      <c r="G45" s="4">
        <v>-1005</v>
      </c>
      <c r="H45" s="4">
        <v>-1485</v>
      </c>
      <c r="I45" s="4">
        <v>-855</v>
      </c>
      <c r="J45" s="4">
        <v>-710</v>
      </c>
      <c r="K45" s="4">
        <v>-2990</v>
      </c>
      <c r="L45" s="4">
        <v>-435</v>
      </c>
      <c r="M45" s="4">
        <v>-540</v>
      </c>
      <c r="N45" s="4">
        <v>-320</v>
      </c>
      <c r="O45" s="4">
        <v>-205</v>
      </c>
      <c r="P45" s="4">
        <v>-300</v>
      </c>
      <c r="Q45" s="4">
        <v>-1045</v>
      </c>
      <c r="R45" s="4">
        <v>-11200</v>
      </c>
      <c r="S45" s="2">
        <v>201312</v>
      </c>
      <c r="T45" s="16" t="s">
        <v>233</v>
      </c>
    </row>
    <row r="46" spans="1:20" x14ac:dyDescent="0.25">
      <c r="A46" s="9" t="s">
        <v>133</v>
      </c>
      <c r="B46" s="2" t="s">
        <v>211</v>
      </c>
      <c r="C46" s="3" t="s">
        <v>68</v>
      </c>
      <c r="D46" s="3"/>
      <c r="E46" s="4">
        <v>0</v>
      </c>
      <c r="F46" s="4">
        <v>0</v>
      </c>
      <c r="G46" s="4">
        <v>0</v>
      </c>
      <c r="H46" s="4">
        <v>-2810</v>
      </c>
      <c r="I46" s="4">
        <v>0</v>
      </c>
      <c r="J46" s="4">
        <v>0</v>
      </c>
      <c r="K46" s="4">
        <v>-2170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-4980</v>
      </c>
      <c r="S46" s="2">
        <v>201312</v>
      </c>
      <c r="T46" s="16" t="s">
        <v>233</v>
      </c>
    </row>
    <row r="47" spans="1:20" x14ac:dyDescent="0.25">
      <c r="A47" s="9" t="s">
        <v>134</v>
      </c>
      <c r="B47" s="2" t="s">
        <v>212</v>
      </c>
      <c r="C47" s="3" t="s">
        <v>68</v>
      </c>
      <c r="D47" s="3"/>
      <c r="E47" s="4">
        <v>0</v>
      </c>
      <c r="F47" s="4">
        <v>-1544.47</v>
      </c>
      <c r="G47" s="4">
        <v>-12674.42</v>
      </c>
      <c r="H47" s="4">
        <v>-2250.79</v>
      </c>
      <c r="I47" s="4">
        <v>-618.20000000000005</v>
      </c>
      <c r="J47" s="4">
        <v>-568.61</v>
      </c>
      <c r="K47" s="4">
        <v>-1241.71</v>
      </c>
      <c r="L47" s="4">
        <v>-1998.78</v>
      </c>
      <c r="M47" s="4">
        <v>-1050.51</v>
      </c>
      <c r="N47" s="4">
        <v>-617.42999999999995</v>
      </c>
      <c r="O47" s="4">
        <v>-647.1</v>
      </c>
      <c r="P47" s="4">
        <v>-1023.3</v>
      </c>
      <c r="Q47" s="4">
        <v>-1092.3900000000001</v>
      </c>
      <c r="R47" s="4">
        <v>-25327.71</v>
      </c>
      <c r="S47" s="2">
        <v>201312</v>
      </c>
      <c r="T47" s="16" t="s">
        <v>233</v>
      </c>
    </row>
    <row r="48" spans="1:20" x14ac:dyDescent="0.25">
      <c r="A48" s="9" t="s">
        <v>135</v>
      </c>
      <c r="B48" s="2" t="s">
        <v>213</v>
      </c>
      <c r="C48" s="3" t="s">
        <v>68</v>
      </c>
      <c r="D48" s="3"/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">
        <v>201312</v>
      </c>
      <c r="T48" s="16" t="s">
        <v>233</v>
      </c>
    </row>
    <row r="49" spans="1:20" x14ac:dyDescent="0.25">
      <c r="A49" s="9" t="s">
        <v>136</v>
      </c>
      <c r="B49" s="2" t="s">
        <v>38</v>
      </c>
      <c r="C49" s="3" t="s">
        <v>69</v>
      </c>
      <c r="D49" s="3"/>
      <c r="E49" s="4">
        <v>0</v>
      </c>
      <c r="F49" s="4">
        <v>0</v>
      </c>
      <c r="G49" s="4">
        <v>400</v>
      </c>
      <c r="H49" s="4">
        <v>818</v>
      </c>
      <c r="I49" s="4">
        <v>0</v>
      </c>
      <c r="J49" s="4">
        <v>843</v>
      </c>
      <c r="K49" s="4">
        <v>818</v>
      </c>
      <c r="L49" s="4">
        <v>0</v>
      </c>
      <c r="M49" s="4">
        <v>409</v>
      </c>
      <c r="N49" s="4">
        <v>0</v>
      </c>
      <c r="O49" s="4">
        <v>0</v>
      </c>
      <c r="P49" s="4">
        <v>0</v>
      </c>
      <c r="Q49" s="4">
        <v>409</v>
      </c>
      <c r="R49" s="4">
        <v>3697</v>
      </c>
      <c r="S49" s="2">
        <v>201312</v>
      </c>
      <c r="T49" s="16" t="s">
        <v>233</v>
      </c>
    </row>
    <row r="50" spans="1:20" x14ac:dyDescent="0.25">
      <c r="A50" s="9" t="s">
        <v>137</v>
      </c>
      <c r="B50" s="2" t="s">
        <v>39</v>
      </c>
      <c r="C50" s="3" t="s">
        <v>69</v>
      </c>
      <c r="D50" s="3"/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2">
        <v>201312</v>
      </c>
      <c r="T50" s="16" t="s">
        <v>233</v>
      </c>
    </row>
    <row r="51" spans="1:20" x14ac:dyDescent="0.25">
      <c r="A51" s="9" t="s">
        <v>138</v>
      </c>
      <c r="B51" s="2" t="s">
        <v>40</v>
      </c>
      <c r="C51" s="3" t="s">
        <v>69</v>
      </c>
      <c r="D51" s="3"/>
      <c r="E51" s="4">
        <v>0</v>
      </c>
      <c r="F51" s="4">
        <v>80.61</v>
      </c>
      <c r="G51" s="4">
        <v>303.5</v>
      </c>
      <c r="H51" s="4">
        <v>33.880000000000003</v>
      </c>
      <c r="I51" s="4">
        <v>587.28</v>
      </c>
      <c r="J51" s="4">
        <v>0</v>
      </c>
      <c r="K51" s="4">
        <v>0</v>
      </c>
      <c r="L51" s="4">
        <v>0</v>
      </c>
      <c r="M51" s="4">
        <v>92.2</v>
      </c>
      <c r="N51" s="4">
        <v>80.599999999999994</v>
      </c>
      <c r="O51" s="4">
        <v>7.63</v>
      </c>
      <c r="P51" s="4">
        <v>0</v>
      </c>
      <c r="Q51" s="4">
        <v>135.54</v>
      </c>
      <c r="R51" s="4">
        <v>1321.24</v>
      </c>
      <c r="S51" s="2">
        <v>201312</v>
      </c>
      <c r="T51" s="16" t="s">
        <v>233</v>
      </c>
    </row>
    <row r="52" spans="1:20" x14ac:dyDescent="0.25">
      <c r="A52" s="9" t="s">
        <v>139</v>
      </c>
      <c r="B52" s="2" t="s">
        <v>41</v>
      </c>
      <c r="C52" s="3" t="s">
        <v>69</v>
      </c>
      <c r="D52" s="3"/>
      <c r="E52" s="4">
        <v>0</v>
      </c>
      <c r="F52" s="4">
        <v>27.91</v>
      </c>
      <c r="G52" s="4">
        <v>23.84</v>
      </c>
      <c r="H52" s="4">
        <v>27.71</v>
      </c>
      <c r="I52" s="4">
        <v>23.56</v>
      </c>
      <c r="J52" s="4">
        <v>25.82</v>
      </c>
      <c r="K52" s="4">
        <v>20.7</v>
      </c>
      <c r="L52" s="4">
        <v>19.32</v>
      </c>
      <c r="M52" s="4">
        <v>27.18</v>
      </c>
      <c r="N52" s="4">
        <v>21.52</v>
      </c>
      <c r="O52" s="4">
        <v>15.18</v>
      </c>
      <c r="P52" s="4">
        <v>19.239999999999998</v>
      </c>
      <c r="Q52" s="4">
        <v>22.16</v>
      </c>
      <c r="R52" s="4">
        <v>274.14</v>
      </c>
      <c r="S52" s="2">
        <v>201312</v>
      </c>
      <c r="T52" s="16" t="s">
        <v>233</v>
      </c>
    </row>
    <row r="53" spans="1:20" x14ac:dyDescent="0.25">
      <c r="A53" s="9" t="s">
        <v>140</v>
      </c>
      <c r="B53" s="2" t="s">
        <v>214</v>
      </c>
      <c r="C53" s="3" t="s">
        <v>69</v>
      </c>
      <c r="D53" s="3"/>
      <c r="E53" s="4">
        <v>0</v>
      </c>
      <c r="F53" s="4">
        <v>3553.94</v>
      </c>
      <c r="G53" s="4">
        <v>3968.59</v>
      </c>
      <c r="H53" s="4">
        <v>3515.33</v>
      </c>
      <c r="I53" s="4">
        <v>3578.2</v>
      </c>
      <c r="J53" s="4">
        <v>3122</v>
      </c>
      <c r="K53" s="4">
        <v>3401.6</v>
      </c>
      <c r="L53" s="4">
        <v>3618.95</v>
      </c>
      <c r="M53" s="4">
        <v>3168.81</v>
      </c>
      <c r="N53" s="4">
        <v>3490.44</v>
      </c>
      <c r="O53" s="4">
        <v>3408.81</v>
      </c>
      <c r="P53" s="4">
        <v>3278.51</v>
      </c>
      <c r="Q53" s="4">
        <v>3506.9</v>
      </c>
      <c r="R53" s="4">
        <v>41612.080000000002</v>
      </c>
      <c r="S53" s="2">
        <v>201312</v>
      </c>
      <c r="T53" s="16" t="s">
        <v>233</v>
      </c>
    </row>
    <row r="54" spans="1:20" x14ac:dyDescent="0.25">
      <c r="A54" s="9" t="s">
        <v>141</v>
      </c>
      <c r="B54" s="2" t="s">
        <v>215</v>
      </c>
      <c r="C54" s="3" t="s">
        <v>69</v>
      </c>
      <c r="D54" s="3"/>
      <c r="E54" s="4">
        <v>0</v>
      </c>
      <c r="F54" s="4">
        <v>1241</v>
      </c>
      <c r="G54" s="4">
        <v>1241</v>
      </c>
      <c r="H54" s="4">
        <v>3950</v>
      </c>
      <c r="I54" s="4">
        <v>1970</v>
      </c>
      <c r="J54" s="4">
        <v>2879.6</v>
      </c>
      <c r="K54" s="4">
        <v>1970</v>
      </c>
      <c r="L54" s="4">
        <v>1970</v>
      </c>
      <c r="M54" s="4">
        <v>1970</v>
      </c>
      <c r="N54" s="4">
        <v>1970</v>
      </c>
      <c r="O54" s="4">
        <v>0</v>
      </c>
      <c r="P54" s="4">
        <v>1973.18</v>
      </c>
      <c r="Q54" s="4">
        <v>1500</v>
      </c>
      <c r="R54" s="4">
        <v>22634.78</v>
      </c>
      <c r="S54" s="2">
        <v>201312</v>
      </c>
      <c r="T54" s="16" t="s">
        <v>233</v>
      </c>
    </row>
    <row r="55" spans="1:20" x14ac:dyDescent="0.25">
      <c r="A55" s="9" t="s">
        <v>142</v>
      </c>
      <c r="B55" s="2" t="s">
        <v>216</v>
      </c>
      <c r="C55" s="3" t="s">
        <v>69</v>
      </c>
      <c r="D55" s="3"/>
      <c r="E55" s="4">
        <v>0</v>
      </c>
      <c r="F55" s="4">
        <v>-235</v>
      </c>
      <c r="G55" s="4">
        <v>470</v>
      </c>
      <c r="H55" s="4">
        <v>-235</v>
      </c>
      <c r="I55" s="4">
        <v>235</v>
      </c>
      <c r="J55" s="4">
        <v>235</v>
      </c>
      <c r="K55" s="4">
        <v>-885</v>
      </c>
      <c r="L55" s="4">
        <v>892.28</v>
      </c>
      <c r="M55" s="4">
        <v>245</v>
      </c>
      <c r="N55" s="4">
        <v>-527.72</v>
      </c>
      <c r="O55" s="4">
        <v>0</v>
      </c>
      <c r="P55" s="4">
        <v>490</v>
      </c>
      <c r="Q55" s="4">
        <v>-490</v>
      </c>
      <c r="R55" s="4">
        <v>194.56</v>
      </c>
      <c r="S55" s="2">
        <v>201312</v>
      </c>
      <c r="T55" s="16" t="s">
        <v>233</v>
      </c>
    </row>
    <row r="56" spans="1:20" x14ac:dyDescent="0.25">
      <c r="A56" s="9" t="s">
        <v>143</v>
      </c>
      <c r="B56" s="2" t="s">
        <v>43</v>
      </c>
      <c r="C56" s="3" t="s">
        <v>69</v>
      </c>
      <c r="D56" s="3"/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2">
        <v>201312</v>
      </c>
      <c r="T56" s="16" t="s">
        <v>233</v>
      </c>
    </row>
    <row r="57" spans="1:20" x14ac:dyDescent="0.25">
      <c r="A57" s="9" t="s">
        <v>144</v>
      </c>
      <c r="B57" s="2" t="s">
        <v>44</v>
      </c>
      <c r="C57" s="3" t="s">
        <v>69</v>
      </c>
      <c r="D57" s="3"/>
      <c r="E57" s="4">
        <v>0</v>
      </c>
      <c r="F57" s="4">
        <v>520.6</v>
      </c>
      <c r="G57" s="4">
        <v>465.15</v>
      </c>
      <c r="H57" s="4">
        <v>632.66</v>
      </c>
      <c r="I57" s="4">
        <v>610.66999999999996</v>
      </c>
      <c r="J57" s="4">
        <v>770.45</v>
      </c>
      <c r="K57" s="4">
        <v>314.26</v>
      </c>
      <c r="L57" s="4">
        <v>623.01</v>
      </c>
      <c r="M57" s="4">
        <v>685.98</v>
      </c>
      <c r="N57" s="4">
        <v>544.09</v>
      </c>
      <c r="O57" s="4">
        <v>689.55</v>
      </c>
      <c r="P57" s="4">
        <v>534.19000000000005</v>
      </c>
      <c r="Q57" s="4">
        <v>671.44</v>
      </c>
      <c r="R57" s="4">
        <v>7062.05</v>
      </c>
      <c r="S57" s="2">
        <v>201312</v>
      </c>
      <c r="T57" s="16" t="s">
        <v>233</v>
      </c>
    </row>
    <row r="58" spans="1:20" x14ac:dyDescent="0.25">
      <c r="A58" s="9" t="s">
        <v>145</v>
      </c>
      <c r="B58" s="2" t="s">
        <v>217</v>
      </c>
      <c r="C58" s="3" t="s">
        <v>69</v>
      </c>
      <c r="D58" s="3"/>
      <c r="E58" s="4">
        <v>0</v>
      </c>
      <c r="F58" s="4">
        <v>64.95</v>
      </c>
      <c r="G58" s="4">
        <v>95.09</v>
      </c>
      <c r="H58" s="4">
        <v>64.95</v>
      </c>
      <c r="I58" s="4">
        <v>64.95</v>
      </c>
      <c r="J58" s="4">
        <v>83.33</v>
      </c>
      <c r="K58" s="4">
        <v>64.95</v>
      </c>
      <c r="L58" s="4">
        <v>64.95</v>
      </c>
      <c r="M58" s="4">
        <v>160.62</v>
      </c>
      <c r="N58" s="4">
        <v>70.95</v>
      </c>
      <c r="O58" s="4">
        <v>70.95</v>
      </c>
      <c r="P58" s="4">
        <v>70.95</v>
      </c>
      <c r="Q58" s="4">
        <v>70.95</v>
      </c>
      <c r="R58" s="4">
        <v>947.59</v>
      </c>
      <c r="S58" s="2">
        <v>201312</v>
      </c>
      <c r="T58" s="16" t="s">
        <v>233</v>
      </c>
    </row>
    <row r="59" spans="1:20" x14ac:dyDescent="0.25">
      <c r="A59" s="9" t="s">
        <v>146</v>
      </c>
      <c r="B59" s="2" t="s">
        <v>45</v>
      </c>
      <c r="C59" s="3" t="s">
        <v>69</v>
      </c>
      <c r="D59" s="3"/>
      <c r="E59" s="4">
        <v>0</v>
      </c>
      <c r="F59" s="4">
        <v>269.82</v>
      </c>
      <c r="G59" s="4">
        <v>222.18</v>
      </c>
      <c r="H59" s="4">
        <v>216</v>
      </c>
      <c r="I59" s="4">
        <v>91.06</v>
      </c>
      <c r="J59" s="4">
        <v>314.38</v>
      </c>
      <c r="K59" s="4">
        <v>145.6</v>
      </c>
      <c r="L59" s="4">
        <v>154.80000000000001</v>
      </c>
      <c r="M59" s="4">
        <v>320.27999999999997</v>
      </c>
      <c r="N59" s="4">
        <v>218.61</v>
      </c>
      <c r="O59" s="4">
        <v>169.03</v>
      </c>
      <c r="P59" s="4">
        <v>2.8</v>
      </c>
      <c r="Q59" s="4">
        <v>201.7</v>
      </c>
      <c r="R59" s="4">
        <v>2326.2600000000002</v>
      </c>
      <c r="S59" s="2">
        <v>201312</v>
      </c>
      <c r="T59" s="16" t="s">
        <v>233</v>
      </c>
    </row>
    <row r="60" spans="1:20" x14ac:dyDescent="0.25">
      <c r="A60" s="9" t="s">
        <v>147</v>
      </c>
      <c r="B60" s="2" t="s">
        <v>218</v>
      </c>
      <c r="C60" s="3" t="s">
        <v>69</v>
      </c>
      <c r="D60" s="3"/>
      <c r="E60" s="4">
        <v>0</v>
      </c>
      <c r="F60" s="4">
        <v>16.41</v>
      </c>
      <c r="G60" s="4">
        <v>641.41</v>
      </c>
      <c r="H60" s="4">
        <v>212.61</v>
      </c>
      <c r="I60" s="4">
        <v>308.81</v>
      </c>
      <c r="J60" s="4">
        <v>131.47</v>
      </c>
      <c r="K60" s="4">
        <v>244.52</v>
      </c>
      <c r="L60" s="4">
        <v>234.65</v>
      </c>
      <c r="M60" s="4">
        <v>565.5</v>
      </c>
      <c r="N60" s="4">
        <v>42.22</v>
      </c>
      <c r="O60" s="4">
        <v>95.6</v>
      </c>
      <c r="P60" s="4">
        <v>707.4</v>
      </c>
      <c r="Q60" s="4">
        <v>4958.79</v>
      </c>
      <c r="R60" s="4">
        <v>8159.39</v>
      </c>
      <c r="S60" s="2">
        <v>201312</v>
      </c>
      <c r="T60" s="16" t="s">
        <v>233</v>
      </c>
    </row>
    <row r="61" spans="1:20" x14ac:dyDescent="0.25">
      <c r="A61" s="9" t="s">
        <v>148</v>
      </c>
      <c r="B61" s="2" t="s">
        <v>219</v>
      </c>
      <c r="C61" s="3" t="s">
        <v>69</v>
      </c>
      <c r="D61" s="3"/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2">
        <v>201312</v>
      </c>
      <c r="T61" s="16" t="s">
        <v>233</v>
      </c>
    </row>
    <row r="62" spans="1:20" x14ac:dyDescent="0.25">
      <c r="A62" s="9" t="s">
        <v>149</v>
      </c>
      <c r="B62" s="2" t="s">
        <v>46</v>
      </c>
      <c r="C62" s="3" t="s">
        <v>69</v>
      </c>
      <c r="D62" s="3"/>
      <c r="E62" s="4">
        <v>0</v>
      </c>
      <c r="F62" s="4">
        <v>0</v>
      </c>
      <c r="G62" s="4">
        <v>88.96</v>
      </c>
      <c r="H62" s="4">
        <v>112.13</v>
      </c>
      <c r="I62" s="4">
        <v>220.15</v>
      </c>
      <c r="J62" s="4">
        <v>23.08</v>
      </c>
      <c r="K62" s="4">
        <v>57.92</v>
      </c>
      <c r="L62" s="4">
        <v>50.57</v>
      </c>
      <c r="M62" s="4">
        <v>74.599999999999994</v>
      </c>
      <c r="N62" s="4">
        <v>82.61</v>
      </c>
      <c r="O62" s="4">
        <v>69.650000000000006</v>
      </c>
      <c r="P62" s="4">
        <v>36.299999999999997</v>
      </c>
      <c r="Q62" s="4">
        <v>133.66</v>
      </c>
      <c r="R62" s="4">
        <v>949.63</v>
      </c>
      <c r="S62" s="2">
        <v>201312</v>
      </c>
      <c r="T62" s="16" t="s">
        <v>233</v>
      </c>
    </row>
    <row r="63" spans="1:20" x14ac:dyDescent="0.25">
      <c r="A63" s="9" t="s">
        <v>150</v>
      </c>
      <c r="B63" s="2" t="s">
        <v>220</v>
      </c>
      <c r="C63" s="3" t="s">
        <v>69</v>
      </c>
      <c r="D63" s="3"/>
      <c r="E63" s="4">
        <v>0</v>
      </c>
      <c r="F63" s="4">
        <v>945.57</v>
      </c>
      <c r="G63" s="4">
        <v>982.82</v>
      </c>
      <c r="H63" s="4">
        <v>976.42</v>
      </c>
      <c r="I63" s="4">
        <v>899.28</v>
      </c>
      <c r="J63" s="4">
        <v>834.92</v>
      </c>
      <c r="K63" s="4">
        <v>835.77</v>
      </c>
      <c r="L63" s="4">
        <v>1175.19</v>
      </c>
      <c r="M63" s="4">
        <v>1292.45</v>
      </c>
      <c r="N63" s="4">
        <v>1063.1600000000001</v>
      </c>
      <c r="O63" s="4">
        <v>1028.26</v>
      </c>
      <c r="P63" s="4">
        <v>511.72</v>
      </c>
      <c r="Q63" s="4">
        <v>1254.79</v>
      </c>
      <c r="R63" s="4">
        <v>11800.35</v>
      </c>
      <c r="S63" s="2">
        <v>201312</v>
      </c>
      <c r="T63" s="16" t="s">
        <v>233</v>
      </c>
    </row>
    <row r="64" spans="1:20" x14ac:dyDescent="0.25">
      <c r="A64" s="9" t="s">
        <v>151</v>
      </c>
      <c r="B64" s="2" t="s">
        <v>47</v>
      </c>
      <c r="C64" s="3" t="s">
        <v>69</v>
      </c>
      <c r="D64" s="3"/>
      <c r="E64" s="4">
        <v>0</v>
      </c>
      <c r="F64" s="4">
        <v>1937.13</v>
      </c>
      <c r="G64" s="4">
        <v>1839.09</v>
      </c>
      <c r="H64" s="4">
        <v>1618.94</v>
      </c>
      <c r="I64" s="4">
        <v>1839.09</v>
      </c>
      <c r="J64" s="4">
        <v>1738.45</v>
      </c>
      <c r="K64" s="4">
        <v>2524.6999999999998</v>
      </c>
      <c r="L64" s="4">
        <v>3914.79</v>
      </c>
      <c r="M64" s="4">
        <v>5109.8900000000003</v>
      </c>
      <c r="N64" s="4">
        <v>3084.51</v>
      </c>
      <c r="O64" s="4">
        <v>1681.84</v>
      </c>
      <c r="P64" s="4">
        <v>1763.61</v>
      </c>
      <c r="Q64" s="4">
        <v>2128.4299999999998</v>
      </c>
      <c r="R64" s="4">
        <v>29180.47</v>
      </c>
      <c r="S64" s="2">
        <v>201312</v>
      </c>
      <c r="T64" s="16" t="s">
        <v>233</v>
      </c>
    </row>
    <row r="65" spans="1:20" x14ac:dyDescent="0.25">
      <c r="A65" s="9" t="s">
        <v>152</v>
      </c>
      <c r="B65" s="2" t="s">
        <v>48</v>
      </c>
      <c r="C65" s="3" t="s">
        <v>69</v>
      </c>
      <c r="D65" s="3"/>
      <c r="E65" s="4">
        <v>0</v>
      </c>
      <c r="F65" s="4">
        <v>0</v>
      </c>
      <c r="G65" s="4">
        <v>2674.45</v>
      </c>
      <c r="H65" s="4">
        <v>4744.79</v>
      </c>
      <c r="I65" s="4">
        <v>2443.23</v>
      </c>
      <c r="J65" s="4">
        <v>3527.57</v>
      </c>
      <c r="K65" s="4">
        <v>1753.98</v>
      </c>
      <c r="L65" s="4">
        <v>1793</v>
      </c>
      <c r="M65" s="4">
        <v>1590.09</v>
      </c>
      <c r="N65" s="4">
        <v>1383.03</v>
      </c>
      <c r="O65" s="4">
        <v>1408.52</v>
      </c>
      <c r="P65" s="4">
        <v>2271.92</v>
      </c>
      <c r="Q65" s="4">
        <v>5412.87</v>
      </c>
      <c r="R65" s="4">
        <v>29003.45</v>
      </c>
      <c r="S65" s="2">
        <v>201312</v>
      </c>
      <c r="T65" s="16" t="s">
        <v>233</v>
      </c>
    </row>
    <row r="66" spans="1:20" x14ac:dyDescent="0.25">
      <c r="A66" s="9" t="s">
        <v>153</v>
      </c>
      <c r="B66" s="2" t="s">
        <v>49</v>
      </c>
      <c r="C66" s="3" t="s">
        <v>69</v>
      </c>
      <c r="D66" s="3"/>
      <c r="E66" s="4">
        <v>0</v>
      </c>
      <c r="F66" s="4">
        <v>6996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6996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13992</v>
      </c>
      <c r="S66" s="2">
        <v>201312</v>
      </c>
      <c r="T66" s="16" t="s">
        <v>233</v>
      </c>
    </row>
    <row r="67" spans="1:20" x14ac:dyDescent="0.25">
      <c r="A67" s="9" t="s">
        <v>154</v>
      </c>
      <c r="B67" s="2" t="s">
        <v>50</v>
      </c>
      <c r="C67" s="3" t="s">
        <v>69</v>
      </c>
      <c r="D67" s="3"/>
      <c r="E67" s="4">
        <v>0</v>
      </c>
      <c r="F67" s="4">
        <v>496.08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496.08</v>
      </c>
      <c r="S67" s="2">
        <v>201312</v>
      </c>
      <c r="T67" s="16" t="s">
        <v>233</v>
      </c>
    </row>
    <row r="68" spans="1:20" x14ac:dyDescent="0.25">
      <c r="A68" s="9" t="s">
        <v>155</v>
      </c>
      <c r="B68" s="2" t="s">
        <v>51</v>
      </c>
      <c r="C68" s="3" t="s">
        <v>69</v>
      </c>
      <c r="D68" s="3"/>
      <c r="E68" s="4">
        <v>0</v>
      </c>
      <c r="F68" s="4">
        <v>1872</v>
      </c>
      <c r="G68" s="4">
        <v>2324</v>
      </c>
      <c r="H68" s="4">
        <v>1095</v>
      </c>
      <c r="I68" s="4">
        <v>2337</v>
      </c>
      <c r="J68" s="4">
        <v>2863</v>
      </c>
      <c r="K68" s="4">
        <v>-351</v>
      </c>
      <c r="L68" s="4">
        <v>2900</v>
      </c>
      <c r="M68" s="4">
        <v>2103</v>
      </c>
      <c r="N68" s="4">
        <v>1400</v>
      </c>
      <c r="O68" s="4">
        <v>3311</v>
      </c>
      <c r="P68" s="4">
        <v>1450</v>
      </c>
      <c r="Q68" s="4">
        <v>2149</v>
      </c>
      <c r="R68" s="4">
        <v>23453</v>
      </c>
      <c r="S68" s="2">
        <v>201312</v>
      </c>
      <c r="T68" s="16" t="s">
        <v>233</v>
      </c>
    </row>
    <row r="69" spans="1:20" x14ac:dyDescent="0.25">
      <c r="A69" s="9" t="s">
        <v>156</v>
      </c>
      <c r="B69" s="2" t="s">
        <v>52</v>
      </c>
      <c r="C69" s="3" t="s">
        <v>69</v>
      </c>
      <c r="D69" s="3"/>
      <c r="E69" s="4">
        <v>0</v>
      </c>
      <c r="F69" s="4">
        <v>260</v>
      </c>
      <c r="G69" s="4">
        <v>260</v>
      </c>
      <c r="H69" s="4">
        <v>260</v>
      </c>
      <c r="I69" s="4">
        <v>260</v>
      </c>
      <c r="J69" s="4">
        <v>260</v>
      </c>
      <c r="K69" s="4">
        <v>245</v>
      </c>
      <c r="L69" s="4">
        <v>0</v>
      </c>
      <c r="M69" s="4">
        <v>260</v>
      </c>
      <c r="N69" s="4">
        <v>260</v>
      </c>
      <c r="O69" s="4">
        <v>520</v>
      </c>
      <c r="P69" s="4">
        <v>260</v>
      </c>
      <c r="Q69" s="4">
        <v>260</v>
      </c>
      <c r="R69" s="4">
        <v>3105</v>
      </c>
      <c r="S69" s="2">
        <v>201312</v>
      </c>
      <c r="T69" s="16" t="s">
        <v>233</v>
      </c>
    </row>
    <row r="70" spans="1:20" x14ac:dyDescent="0.25">
      <c r="A70" s="9" t="s">
        <v>157</v>
      </c>
      <c r="B70" s="2" t="s">
        <v>53</v>
      </c>
      <c r="C70" s="3" t="s">
        <v>69</v>
      </c>
      <c r="D70" s="3"/>
      <c r="E70" s="4">
        <v>0</v>
      </c>
      <c r="F70" s="4">
        <v>764.5</v>
      </c>
      <c r="G70" s="4">
        <v>797</v>
      </c>
      <c r="H70" s="4">
        <v>742</v>
      </c>
      <c r="I70" s="4">
        <v>837</v>
      </c>
      <c r="J70" s="4">
        <v>762</v>
      </c>
      <c r="K70" s="4">
        <v>754.5</v>
      </c>
      <c r="L70" s="4">
        <v>932</v>
      </c>
      <c r="M70" s="4">
        <v>852</v>
      </c>
      <c r="N70" s="4">
        <v>809.5</v>
      </c>
      <c r="O70" s="4">
        <v>734.5</v>
      </c>
      <c r="P70" s="4">
        <v>809.5</v>
      </c>
      <c r="Q70" s="4">
        <v>784.5</v>
      </c>
      <c r="R70" s="4">
        <v>9579</v>
      </c>
      <c r="S70" s="2">
        <v>201312</v>
      </c>
      <c r="T70" s="16" t="s">
        <v>233</v>
      </c>
    </row>
    <row r="71" spans="1:20" x14ac:dyDescent="0.25">
      <c r="A71" s="9" t="s">
        <v>158</v>
      </c>
      <c r="B71" s="2" t="s">
        <v>221</v>
      </c>
      <c r="C71" s="3" t="s">
        <v>69</v>
      </c>
      <c r="D71" s="3"/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480</v>
      </c>
      <c r="Q71" s="4">
        <v>0</v>
      </c>
      <c r="R71" s="4">
        <v>480</v>
      </c>
      <c r="S71" s="2">
        <v>201312</v>
      </c>
      <c r="T71" s="16" t="s">
        <v>233</v>
      </c>
    </row>
    <row r="72" spans="1:20" x14ac:dyDescent="0.25">
      <c r="A72" s="9" t="s">
        <v>234</v>
      </c>
      <c r="B72" s="2" t="s">
        <v>236</v>
      </c>
      <c r="C72" s="3" t="s">
        <v>69</v>
      </c>
      <c r="D72" s="3"/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572.47</v>
      </c>
      <c r="O72" s="4">
        <v>0</v>
      </c>
      <c r="P72" s="4">
        <v>0</v>
      </c>
      <c r="Q72" s="4">
        <v>0</v>
      </c>
      <c r="R72" s="4">
        <v>572.47</v>
      </c>
      <c r="S72" s="2">
        <v>201312</v>
      </c>
      <c r="T72" s="16" t="s">
        <v>233</v>
      </c>
    </row>
    <row r="73" spans="1:20" x14ac:dyDescent="0.25">
      <c r="A73" s="9" t="s">
        <v>159</v>
      </c>
      <c r="B73" s="2" t="s">
        <v>54</v>
      </c>
      <c r="C73" s="3" t="s">
        <v>69</v>
      </c>
      <c r="D73" s="3"/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1542.86</v>
      </c>
      <c r="K73" s="4">
        <v>1211.4100000000001</v>
      </c>
      <c r="L73" s="4">
        <v>1029.05</v>
      </c>
      <c r="M73" s="4">
        <v>2582</v>
      </c>
      <c r="N73" s="4">
        <v>1233.24</v>
      </c>
      <c r="O73" s="4">
        <v>874.72</v>
      </c>
      <c r="P73" s="4">
        <v>0</v>
      </c>
      <c r="Q73" s="4">
        <v>0</v>
      </c>
      <c r="R73" s="4">
        <v>8473.2800000000007</v>
      </c>
      <c r="S73" s="2">
        <v>201312</v>
      </c>
      <c r="T73" s="16" t="s">
        <v>233</v>
      </c>
    </row>
    <row r="74" spans="1:20" x14ac:dyDescent="0.25">
      <c r="A74" s="9" t="s">
        <v>160</v>
      </c>
      <c r="B74" s="2" t="s">
        <v>222</v>
      </c>
      <c r="C74" s="3" t="s">
        <v>69</v>
      </c>
      <c r="D74" s="3"/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1252.3599999999999</v>
      </c>
      <c r="K74" s="4">
        <v>2286.91</v>
      </c>
      <c r="L74" s="4">
        <v>1946.59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5485.86</v>
      </c>
      <c r="S74" s="2">
        <v>201312</v>
      </c>
      <c r="T74" s="16" t="s">
        <v>233</v>
      </c>
    </row>
    <row r="75" spans="1:20" x14ac:dyDescent="0.25">
      <c r="A75" s="9" t="s">
        <v>161</v>
      </c>
      <c r="B75" s="2" t="s">
        <v>223</v>
      </c>
      <c r="C75" s="3" t="s">
        <v>69</v>
      </c>
      <c r="D75" s="3"/>
      <c r="E75" s="4">
        <v>0</v>
      </c>
      <c r="F75" s="4">
        <v>1426.94</v>
      </c>
      <c r="G75" s="4">
        <v>3258.36</v>
      </c>
      <c r="H75" s="4">
        <v>5452.76</v>
      </c>
      <c r="I75" s="4">
        <v>5906.62</v>
      </c>
      <c r="J75" s="4">
        <v>6898.37</v>
      </c>
      <c r="K75" s="4">
        <v>7165.14</v>
      </c>
      <c r="L75" s="4">
        <v>2101.61</v>
      </c>
      <c r="M75" s="4">
        <v>4876.6899999999996</v>
      </c>
      <c r="N75" s="4">
        <v>75.31</v>
      </c>
      <c r="O75" s="4">
        <v>5348.64</v>
      </c>
      <c r="P75" s="4">
        <v>430.5</v>
      </c>
      <c r="Q75" s="4">
        <v>4723.4399999999996</v>
      </c>
      <c r="R75" s="4">
        <v>47664.38</v>
      </c>
      <c r="S75" s="2">
        <v>201312</v>
      </c>
      <c r="T75" s="16" t="s">
        <v>233</v>
      </c>
    </row>
    <row r="76" spans="1:20" x14ac:dyDescent="0.25">
      <c r="A76" s="9" t="s">
        <v>162</v>
      </c>
      <c r="B76" s="2" t="s">
        <v>55</v>
      </c>
      <c r="C76" s="3" t="s">
        <v>69</v>
      </c>
      <c r="D76" s="3"/>
      <c r="E76" s="4">
        <v>0</v>
      </c>
      <c r="F76" s="4">
        <v>718.5</v>
      </c>
      <c r="G76" s="4">
        <v>2063</v>
      </c>
      <c r="H76" s="4">
        <v>2945.75</v>
      </c>
      <c r="I76" s="4">
        <v>4490</v>
      </c>
      <c r="J76" s="4">
        <v>4195.5</v>
      </c>
      <c r="K76" s="4">
        <v>5401.99</v>
      </c>
      <c r="L76" s="4">
        <v>6533.2</v>
      </c>
      <c r="M76" s="4">
        <v>2058</v>
      </c>
      <c r="N76" s="4">
        <v>3558</v>
      </c>
      <c r="O76" s="4">
        <v>2219.9</v>
      </c>
      <c r="P76" s="4">
        <v>2379.1999999999998</v>
      </c>
      <c r="Q76" s="4">
        <v>1731.25</v>
      </c>
      <c r="R76" s="4">
        <v>38294.29</v>
      </c>
      <c r="S76" s="2">
        <v>201312</v>
      </c>
      <c r="T76" s="16" t="s">
        <v>233</v>
      </c>
    </row>
    <row r="77" spans="1:20" x14ac:dyDescent="0.25">
      <c r="A77" s="9" t="s">
        <v>163</v>
      </c>
      <c r="B77" s="2" t="s">
        <v>221</v>
      </c>
      <c r="C77" s="3" t="s">
        <v>69</v>
      </c>
      <c r="D77" s="3"/>
      <c r="E77" s="4">
        <v>0</v>
      </c>
      <c r="F77" s="4">
        <v>480</v>
      </c>
      <c r="G77" s="4">
        <v>465</v>
      </c>
      <c r="H77" s="4">
        <v>450</v>
      </c>
      <c r="I77" s="4">
        <v>450</v>
      </c>
      <c r="J77" s="4">
        <v>465</v>
      </c>
      <c r="K77" s="4">
        <v>450</v>
      </c>
      <c r="L77" s="4">
        <v>465</v>
      </c>
      <c r="M77" s="4">
        <v>450</v>
      </c>
      <c r="N77" s="4">
        <v>465</v>
      </c>
      <c r="O77" s="4">
        <v>465</v>
      </c>
      <c r="P77" s="4">
        <v>0</v>
      </c>
      <c r="Q77" s="4">
        <v>465</v>
      </c>
      <c r="R77" s="4">
        <v>5070</v>
      </c>
      <c r="S77" s="2">
        <v>201312</v>
      </c>
      <c r="T77" s="16" t="s">
        <v>233</v>
      </c>
    </row>
    <row r="78" spans="1:20" x14ac:dyDescent="0.25">
      <c r="A78" s="9" t="s">
        <v>164</v>
      </c>
      <c r="B78" s="2" t="s">
        <v>56</v>
      </c>
      <c r="C78" s="3" t="s">
        <v>69</v>
      </c>
      <c r="D78" s="3"/>
      <c r="E78" s="4">
        <v>0</v>
      </c>
      <c r="F78" s="4">
        <v>5238</v>
      </c>
      <c r="G78" s="4">
        <v>5238</v>
      </c>
      <c r="H78" s="4">
        <v>-1632</v>
      </c>
      <c r="I78" s="4">
        <v>4697.05</v>
      </c>
      <c r="J78" s="4">
        <v>2812.01</v>
      </c>
      <c r="K78" s="4">
        <v>4437</v>
      </c>
      <c r="L78" s="4">
        <v>6062</v>
      </c>
      <c r="M78" s="4">
        <v>6062</v>
      </c>
      <c r="N78" s="4">
        <v>6062</v>
      </c>
      <c r="O78" s="4">
        <v>6062</v>
      </c>
      <c r="P78" s="4">
        <v>8081.48</v>
      </c>
      <c r="Q78" s="4">
        <v>6062</v>
      </c>
      <c r="R78" s="4">
        <v>59181.54</v>
      </c>
      <c r="S78" s="2">
        <v>201312</v>
      </c>
      <c r="T78" s="16" t="s">
        <v>233</v>
      </c>
    </row>
    <row r="79" spans="1:20" x14ac:dyDescent="0.25">
      <c r="A79" s="9" t="s">
        <v>165</v>
      </c>
      <c r="B79" s="2" t="s">
        <v>57</v>
      </c>
      <c r="C79" s="3" t="s">
        <v>69</v>
      </c>
      <c r="D79" s="3"/>
      <c r="E79" s="4">
        <v>0</v>
      </c>
      <c r="F79" s="4">
        <v>0</v>
      </c>
      <c r="G79" s="4">
        <v>1203.1400000000001</v>
      </c>
      <c r="H79" s="4">
        <v>3834.24</v>
      </c>
      <c r="I79" s="4">
        <v>5940.63</v>
      </c>
      <c r="J79" s="4">
        <v>1706.08</v>
      </c>
      <c r="K79" s="4">
        <v>0</v>
      </c>
      <c r="L79" s="4">
        <v>0</v>
      </c>
      <c r="M79" s="4">
        <v>3858.65</v>
      </c>
      <c r="N79" s="4">
        <v>0</v>
      </c>
      <c r="O79" s="4">
        <v>0</v>
      </c>
      <c r="P79" s="4">
        <v>0</v>
      </c>
      <c r="Q79" s="4">
        <v>1776.5</v>
      </c>
      <c r="R79" s="4">
        <v>18319.240000000002</v>
      </c>
      <c r="S79" s="2">
        <v>201312</v>
      </c>
      <c r="T79" s="16" t="s">
        <v>233</v>
      </c>
    </row>
    <row r="80" spans="1:20" x14ac:dyDescent="0.25">
      <c r="A80" s="9" t="s">
        <v>166</v>
      </c>
      <c r="B80" s="2" t="s">
        <v>58</v>
      </c>
      <c r="C80" s="3" t="s">
        <v>69</v>
      </c>
      <c r="D80" s="3"/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2">
        <v>201312</v>
      </c>
      <c r="T80" s="16" t="s">
        <v>233</v>
      </c>
    </row>
    <row r="81" spans="1:20" x14ac:dyDescent="0.25">
      <c r="A81" s="9" t="s">
        <v>167</v>
      </c>
      <c r="B81" s="2" t="s">
        <v>42</v>
      </c>
      <c r="C81" s="3" t="s">
        <v>69</v>
      </c>
      <c r="D81" s="3"/>
      <c r="E81" s="4">
        <v>0</v>
      </c>
      <c r="F81" s="4">
        <v>337.97</v>
      </c>
      <c r="G81" s="4">
        <v>340.8</v>
      </c>
      <c r="H81" s="4">
        <v>378.11</v>
      </c>
      <c r="I81" s="4">
        <v>339.98</v>
      </c>
      <c r="J81" s="4">
        <v>441.59</v>
      </c>
      <c r="K81" s="4">
        <v>336.71</v>
      </c>
      <c r="L81" s="4">
        <v>647.95000000000005</v>
      </c>
      <c r="M81" s="4">
        <v>577.4</v>
      </c>
      <c r="N81" s="4">
        <v>547.33000000000004</v>
      </c>
      <c r="O81" s="4">
        <v>566.70000000000005</v>
      </c>
      <c r="P81" s="4">
        <v>742.26</v>
      </c>
      <c r="Q81" s="4">
        <v>585.54999999999995</v>
      </c>
      <c r="R81" s="4">
        <v>5842.35</v>
      </c>
      <c r="S81" s="2">
        <v>201312</v>
      </c>
      <c r="T81" s="16" t="s">
        <v>233</v>
      </c>
    </row>
    <row r="82" spans="1:20" x14ac:dyDescent="0.25">
      <c r="A82" s="9" t="s">
        <v>168</v>
      </c>
      <c r="B82" s="2" t="s">
        <v>224</v>
      </c>
      <c r="C82" s="3" t="s">
        <v>69</v>
      </c>
      <c r="D82" s="3"/>
      <c r="E82" s="4">
        <v>0</v>
      </c>
      <c r="F82" s="4">
        <v>0</v>
      </c>
      <c r="G82" s="4">
        <v>17429.84</v>
      </c>
      <c r="H82" s="4">
        <v>0</v>
      </c>
      <c r="I82" s="4">
        <v>0</v>
      </c>
      <c r="J82" s="4">
        <v>0</v>
      </c>
      <c r="K82" s="4">
        <v>-1442.8</v>
      </c>
      <c r="L82" s="4">
        <v>0</v>
      </c>
      <c r="M82" s="4">
        <v>-791.76</v>
      </c>
      <c r="N82" s="4">
        <v>0</v>
      </c>
      <c r="O82" s="4">
        <v>0</v>
      </c>
      <c r="P82" s="4">
        <v>0</v>
      </c>
      <c r="Q82" s="4">
        <v>0</v>
      </c>
      <c r="R82" s="4">
        <v>15195.28</v>
      </c>
      <c r="S82" s="2">
        <v>201312</v>
      </c>
      <c r="T82" s="16" t="s">
        <v>233</v>
      </c>
    </row>
    <row r="83" spans="1:20" x14ac:dyDescent="0.25">
      <c r="A83" s="9" t="s">
        <v>169</v>
      </c>
      <c r="B83" s="2" t="s">
        <v>59</v>
      </c>
      <c r="C83" s="3" t="s">
        <v>69</v>
      </c>
      <c r="D83" s="3"/>
      <c r="E83" s="4">
        <v>0</v>
      </c>
      <c r="F83" s="4">
        <v>1257.6300000000001</v>
      </c>
      <c r="G83" s="4">
        <v>1237.9000000000001</v>
      </c>
      <c r="H83" s="4">
        <v>1028.24</v>
      </c>
      <c r="I83" s="4">
        <v>1179.29</v>
      </c>
      <c r="J83" s="4">
        <v>1253.6600000000001</v>
      </c>
      <c r="K83" s="4">
        <v>1199.78</v>
      </c>
      <c r="L83" s="4">
        <v>1911.98</v>
      </c>
      <c r="M83" s="4">
        <v>2302.2600000000002</v>
      </c>
      <c r="N83" s="4">
        <v>2192.6999999999998</v>
      </c>
      <c r="O83" s="4">
        <v>2208.02</v>
      </c>
      <c r="P83" s="4">
        <v>2209.42</v>
      </c>
      <c r="Q83" s="4">
        <v>2695.22</v>
      </c>
      <c r="R83" s="4">
        <v>20676.099999999999</v>
      </c>
      <c r="S83" s="2">
        <v>201312</v>
      </c>
      <c r="T83" s="16" t="s">
        <v>233</v>
      </c>
    </row>
    <row r="84" spans="1:20" x14ac:dyDescent="0.25">
      <c r="A84" s="9" t="s">
        <v>170</v>
      </c>
      <c r="B84" s="2" t="s">
        <v>225</v>
      </c>
      <c r="C84" s="3" t="s">
        <v>69</v>
      </c>
      <c r="D84" s="3"/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1523.4</v>
      </c>
      <c r="P84" s="4">
        <v>0</v>
      </c>
      <c r="Q84" s="4">
        <v>195.48</v>
      </c>
      <c r="R84" s="4">
        <v>1718.88</v>
      </c>
      <c r="S84" s="2">
        <v>201312</v>
      </c>
      <c r="T84" s="16" t="s">
        <v>233</v>
      </c>
    </row>
    <row r="85" spans="1:20" x14ac:dyDescent="0.25">
      <c r="A85" s="9" t="s">
        <v>171</v>
      </c>
      <c r="B85" s="2" t="s">
        <v>60</v>
      </c>
      <c r="C85" s="3" t="s">
        <v>69</v>
      </c>
      <c r="D85" s="3"/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2">
        <v>201312</v>
      </c>
      <c r="T85" s="16" t="s">
        <v>233</v>
      </c>
    </row>
    <row r="86" spans="1:20" x14ac:dyDescent="0.25">
      <c r="A86" s="9" t="s">
        <v>172</v>
      </c>
      <c r="B86" s="2" t="s">
        <v>61</v>
      </c>
      <c r="C86" s="3" t="s">
        <v>69</v>
      </c>
      <c r="D86" s="3"/>
      <c r="E86" s="4">
        <v>0</v>
      </c>
      <c r="F86" s="4">
        <v>0</v>
      </c>
      <c r="G86" s="4">
        <v>4335.6099999999997</v>
      </c>
      <c r="H86" s="4">
        <v>0</v>
      </c>
      <c r="I86" s="4">
        <v>4542.5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17983.61</v>
      </c>
      <c r="R86" s="4">
        <v>26861.72</v>
      </c>
      <c r="S86" s="2">
        <v>201312</v>
      </c>
      <c r="T86" s="16" t="s">
        <v>233</v>
      </c>
    </row>
    <row r="87" spans="1:20" x14ac:dyDescent="0.25">
      <c r="A87" s="9" t="s">
        <v>235</v>
      </c>
      <c r="B87" s="2" t="s">
        <v>70</v>
      </c>
      <c r="C87" s="3" t="s">
        <v>69</v>
      </c>
      <c r="D87" s="3"/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14071.87</v>
      </c>
      <c r="O87" s="4">
        <v>0</v>
      </c>
      <c r="P87" s="4">
        <v>0</v>
      </c>
      <c r="Q87" s="4">
        <v>1425.02</v>
      </c>
      <c r="R87" s="4">
        <v>15496.89</v>
      </c>
      <c r="S87" s="2">
        <v>201312</v>
      </c>
      <c r="T87" s="16" t="s">
        <v>233</v>
      </c>
    </row>
    <row r="88" spans="1:20" x14ac:dyDescent="0.25">
      <c r="A88" s="9" t="s">
        <v>173</v>
      </c>
      <c r="B88" s="2" t="s">
        <v>226</v>
      </c>
      <c r="C88" s="3" t="s">
        <v>69</v>
      </c>
      <c r="D88" s="3"/>
      <c r="E88" s="4">
        <v>0</v>
      </c>
      <c r="F88" s="4">
        <v>6964.83</v>
      </c>
      <c r="G88" s="4">
        <v>3396.03</v>
      </c>
      <c r="H88" s="4">
        <v>3338.2</v>
      </c>
      <c r="I88" s="4">
        <v>3280.19</v>
      </c>
      <c r="J88" s="4">
        <v>3221.99</v>
      </c>
      <c r="K88" s="4">
        <v>3163.62</v>
      </c>
      <c r="L88" s="4">
        <v>3105.06</v>
      </c>
      <c r="M88" s="4">
        <v>3046.32</v>
      </c>
      <c r="N88" s="4">
        <v>2987.4</v>
      </c>
      <c r="O88" s="4">
        <v>2928.29</v>
      </c>
      <c r="P88" s="4">
        <v>2869</v>
      </c>
      <c r="Q88" s="4">
        <v>0</v>
      </c>
      <c r="R88" s="4">
        <v>38300.93</v>
      </c>
      <c r="S88" s="2">
        <v>201312</v>
      </c>
      <c r="T88" s="16" t="s">
        <v>233</v>
      </c>
    </row>
    <row r="89" spans="1:20" x14ac:dyDescent="0.25">
      <c r="A89" s="9" t="s">
        <v>174</v>
      </c>
      <c r="B89" s="2" t="s">
        <v>62</v>
      </c>
      <c r="C89" s="3" t="s">
        <v>69</v>
      </c>
      <c r="D89" s="3"/>
      <c r="E89" s="4">
        <v>0</v>
      </c>
      <c r="F89" s="4">
        <v>10966.93</v>
      </c>
      <c r="G89" s="4">
        <v>10966.93</v>
      </c>
      <c r="H89" s="4">
        <v>10966.93</v>
      </c>
      <c r="I89" s="4">
        <v>10966.93</v>
      </c>
      <c r="J89" s="4">
        <v>10814.11</v>
      </c>
      <c r="K89" s="4">
        <v>10936.37</v>
      </c>
      <c r="L89" s="4">
        <v>10654.71</v>
      </c>
      <c r="M89" s="4">
        <v>10916.25</v>
      </c>
      <c r="N89" s="4">
        <v>7860.21</v>
      </c>
      <c r="O89" s="4">
        <v>10561.04</v>
      </c>
      <c r="P89" s="4">
        <v>10561.04</v>
      </c>
      <c r="Q89" s="4">
        <v>10567.54</v>
      </c>
      <c r="R89" s="4">
        <v>126738.99</v>
      </c>
      <c r="S89" s="2">
        <v>201312</v>
      </c>
      <c r="T89" s="16" t="s">
        <v>233</v>
      </c>
    </row>
    <row r="90" spans="1:20" x14ac:dyDescent="0.25">
      <c r="A90" s="9" t="s">
        <v>175</v>
      </c>
      <c r="B90" s="2" t="s">
        <v>63</v>
      </c>
      <c r="C90" s="3" t="s">
        <v>69</v>
      </c>
      <c r="D90" s="3"/>
      <c r="E90" s="4">
        <v>0</v>
      </c>
      <c r="F90" s="4">
        <v>3000</v>
      </c>
      <c r="G90" s="4">
        <v>3000</v>
      </c>
      <c r="H90" s="4">
        <v>3000</v>
      </c>
      <c r="I90" s="4">
        <v>3000</v>
      </c>
      <c r="J90" s="4">
        <v>3000</v>
      </c>
      <c r="K90" s="4">
        <v>3000</v>
      </c>
      <c r="L90" s="4">
        <v>3000</v>
      </c>
      <c r="M90" s="4">
        <v>3000</v>
      </c>
      <c r="N90" s="4">
        <v>3000</v>
      </c>
      <c r="O90" s="4">
        <v>3000</v>
      </c>
      <c r="P90" s="4">
        <v>3000</v>
      </c>
      <c r="Q90" s="4">
        <v>3000</v>
      </c>
      <c r="R90" s="4">
        <v>36000</v>
      </c>
      <c r="S90" s="2">
        <v>201312</v>
      </c>
      <c r="T90" s="16" t="s">
        <v>233</v>
      </c>
    </row>
    <row r="91" spans="1:20" x14ac:dyDescent="0.25">
      <c r="A91" s="9" t="s">
        <v>176</v>
      </c>
      <c r="B91" s="2" t="s">
        <v>227</v>
      </c>
      <c r="C91" s="3" t="s">
        <v>69</v>
      </c>
      <c r="D91" s="3"/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2">
        <v>201312</v>
      </c>
      <c r="T91" s="16" t="s">
        <v>233</v>
      </c>
    </row>
    <row r="92" spans="1:20" x14ac:dyDescent="0.25">
      <c r="A92" s="9" t="s">
        <v>177</v>
      </c>
      <c r="B92" s="2" t="s">
        <v>191</v>
      </c>
      <c r="C92" s="3" t="s">
        <v>69</v>
      </c>
      <c r="D92" s="3"/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2">
        <v>201312</v>
      </c>
      <c r="T92" s="16" t="s">
        <v>233</v>
      </c>
    </row>
    <row r="93" spans="1:20" x14ac:dyDescent="0.25">
      <c r="A93" s="9" t="s">
        <v>178</v>
      </c>
      <c r="B93" s="2" t="s">
        <v>25</v>
      </c>
      <c r="C93" s="3" t="s">
        <v>69</v>
      </c>
      <c r="D93" s="3"/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2">
        <v>201312</v>
      </c>
      <c r="T93" s="16" t="s">
        <v>233</v>
      </c>
    </row>
    <row r="94" spans="1:20" x14ac:dyDescent="0.25">
      <c r="A94" s="9" t="s">
        <v>179</v>
      </c>
      <c r="B94" s="2" t="s">
        <v>228</v>
      </c>
      <c r="C94" s="3" t="s">
        <v>69</v>
      </c>
      <c r="D94" s="3"/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2">
        <v>201312</v>
      </c>
      <c r="T94" s="16" t="s">
        <v>233</v>
      </c>
    </row>
    <row r="95" spans="1:20" x14ac:dyDescent="0.25">
      <c r="A95" s="9" t="s">
        <v>180</v>
      </c>
      <c r="B95" s="2" t="s">
        <v>229</v>
      </c>
      <c r="C95" s="3" t="s">
        <v>69</v>
      </c>
      <c r="D95" s="3"/>
      <c r="E95" s="4">
        <v>0</v>
      </c>
      <c r="F95" s="4">
        <v>0</v>
      </c>
      <c r="G95" s="4">
        <v>0</v>
      </c>
      <c r="H95" s="4">
        <v>564</v>
      </c>
      <c r="I95" s="4">
        <v>2717</v>
      </c>
      <c r="J95" s="4">
        <v>651</v>
      </c>
      <c r="K95" s="4">
        <v>1620</v>
      </c>
      <c r="L95" s="4">
        <v>0</v>
      </c>
      <c r="M95" s="4">
        <v>0</v>
      </c>
      <c r="N95" s="4">
        <v>2736</v>
      </c>
      <c r="O95" s="4">
        <v>0</v>
      </c>
      <c r="P95" s="4">
        <v>1391</v>
      </c>
      <c r="Q95" s="4">
        <v>564</v>
      </c>
      <c r="R95" s="4">
        <v>10243</v>
      </c>
      <c r="S95" s="2">
        <v>201312</v>
      </c>
      <c r="T95" s="16" t="s">
        <v>233</v>
      </c>
    </row>
    <row r="96" spans="1:20" x14ac:dyDescent="0.25">
      <c r="A96" s="9" t="s">
        <v>181</v>
      </c>
      <c r="B96" s="2" t="s">
        <v>64</v>
      </c>
      <c r="C96" s="3" t="s">
        <v>69</v>
      </c>
      <c r="D96" s="3"/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2">
        <v>201312</v>
      </c>
      <c r="T96" s="16" t="s">
        <v>233</v>
      </c>
    </row>
    <row r="97" spans="1:20" x14ac:dyDescent="0.25">
      <c r="A97" s="9" t="s">
        <v>182</v>
      </c>
      <c r="B97" s="2" t="s">
        <v>26</v>
      </c>
      <c r="C97" s="3" t="s">
        <v>69</v>
      </c>
      <c r="D97" s="3"/>
      <c r="E97" s="4">
        <v>0</v>
      </c>
      <c r="F97" s="4">
        <v>112.5</v>
      </c>
      <c r="G97" s="4">
        <v>1527.09</v>
      </c>
      <c r="H97" s="4">
        <v>1510.08</v>
      </c>
      <c r="I97" s="4">
        <v>1046.95</v>
      </c>
      <c r="J97" s="4">
        <v>2328.7199999999998</v>
      </c>
      <c r="K97" s="4">
        <v>2476.4699999999998</v>
      </c>
      <c r="L97" s="4">
        <v>2569.65</v>
      </c>
      <c r="M97" s="4">
        <v>3025.74</v>
      </c>
      <c r="N97" s="4">
        <v>4246.25</v>
      </c>
      <c r="O97" s="4">
        <v>137.84</v>
      </c>
      <c r="P97" s="4">
        <v>0</v>
      </c>
      <c r="Q97" s="4">
        <v>4961.91</v>
      </c>
      <c r="R97" s="4">
        <v>23943.200000000001</v>
      </c>
      <c r="S97" s="2">
        <v>201312</v>
      </c>
      <c r="T97" s="16" t="s">
        <v>233</v>
      </c>
    </row>
    <row r="98" spans="1:20" x14ac:dyDescent="0.25">
      <c r="A98" s="9" t="s">
        <v>183</v>
      </c>
      <c r="B98" s="2" t="s">
        <v>65</v>
      </c>
      <c r="C98" s="3" t="s">
        <v>69</v>
      </c>
      <c r="D98" s="3"/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2">
        <v>201312</v>
      </c>
      <c r="T98" s="16" t="s">
        <v>233</v>
      </c>
    </row>
    <row r="99" spans="1:20" x14ac:dyDescent="0.25">
      <c r="A99" s="9" t="s">
        <v>184</v>
      </c>
      <c r="B99" s="2" t="s">
        <v>230</v>
      </c>
      <c r="C99" s="3" t="s">
        <v>69</v>
      </c>
      <c r="D99" s="3"/>
      <c r="E99" s="4">
        <v>0</v>
      </c>
      <c r="F99" s="4">
        <v>36838.550000000003</v>
      </c>
      <c r="G99" s="4">
        <v>18505.66</v>
      </c>
      <c r="H99" s="4">
        <v>18563.490000000002</v>
      </c>
      <c r="I99" s="4">
        <v>18621.5</v>
      </c>
      <c r="J99" s="4">
        <v>18679.7</v>
      </c>
      <c r="K99" s="4">
        <v>18738.07</v>
      </c>
      <c r="L99" s="4">
        <v>18796.63</v>
      </c>
      <c r="M99" s="4">
        <v>18855.37</v>
      </c>
      <c r="N99" s="4">
        <v>18914.29</v>
      </c>
      <c r="O99" s="4">
        <v>18973.400000000001</v>
      </c>
      <c r="P99" s="4">
        <v>19032.689999999999</v>
      </c>
      <c r="Q99" s="4">
        <v>0</v>
      </c>
      <c r="R99" s="4">
        <v>224519.35</v>
      </c>
      <c r="S99" s="2">
        <v>201312</v>
      </c>
      <c r="T99" s="16" t="s">
        <v>233</v>
      </c>
    </row>
    <row r="100" spans="1:20" x14ac:dyDescent="0.25">
      <c r="A100" s="9" t="s">
        <v>185</v>
      </c>
      <c r="B100" s="2" t="s">
        <v>231</v>
      </c>
      <c r="C100" s="3" t="s">
        <v>69</v>
      </c>
      <c r="D100" s="3"/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2">
        <v>201312</v>
      </c>
      <c r="T100" s="16" t="s">
        <v>233</v>
      </c>
    </row>
    <row r="101" spans="1:20" x14ac:dyDescent="0.25">
      <c r="A101" s="11" t="s">
        <v>186</v>
      </c>
      <c r="B101" s="12" t="s">
        <v>232</v>
      </c>
      <c r="C101" s="13" t="s">
        <v>69</v>
      </c>
      <c r="D101" s="13"/>
      <c r="E101" s="14">
        <v>0</v>
      </c>
      <c r="F101" s="14">
        <v>-39951.050000000003</v>
      </c>
      <c r="G101" s="14">
        <v>-23032.75</v>
      </c>
      <c r="H101" s="14">
        <v>-23637.57</v>
      </c>
      <c r="I101" s="14">
        <v>-25385.45</v>
      </c>
      <c r="J101" s="14">
        <v>-24659.42</v>
      </c>
      <c r="K101" s="14">
        <v>-25834.54</v>
      </c>
      <c r="L101" s="14">
        <v>-24366.28</v>
      </c>
      <c r="M101" s="14">
        <v>-24881.11</v>
      </c>
      <c r="N101" s="14">
        <v>-28896.54</v>
      </c>
      <c r="O101" s="14">
        <v>-22111.24</v>
      </c>
      <c r="P101" s="14">
        <v>-23423.69</v>
      </c>
      <c r="Q101" s="14">
        <v>-8525.91</v>
      </c>
      <c r="R101" s="14">
        <v>-294705.55</v>
      </c>
      <c r="S101" s="12">
        <v>201312</v>
      </c>
      <c r="T101" s="17" t="s">
        <v>233</v>
      </c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customSheetViews>
    <customSheetView guid="{D54A66AC-88E3-46FB-AFE3-2E559F565FEB}" state="hidden" topLeftCell="C65">
      <selection activeCell="F96" sqref="F9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opLeftCell="C63" workbookViewId="0">
      <selection activeCell="F27" sqref="F27"/>
    </sheetView>
  </sheetViews>
  <sheetFormatPr defaultRowHeight="15" x14ac:dyDescent="0.25"/>
  <cols>
    <col min="1" max="1" width="14.42578125" bestFit="1" customWidth="1"/>
    <col min="2" max="2" width="27.7109375" bestFit="1" customWidth="1"/>
    <col min="3" max="3" width="7" bestFit="1" customWidth="1"/>
    <col min="4" max="4" width="4.140625" bestFit="1" customWidth="1"/>
    <col min="5" max="5" width="12" bestFit="1" customWidth="1"/>
    <col min="6" max="16" width="9.85546875" bestFit="1" customWidth="1"/>
    <col min="17" max="17" width="10.7109375" bestFit="1" customWidth="1"/>
    <col min="18" max="18" width="12" bestFit="1" customWidth="1"/>
    <col min="19" max="19" width="13.85546875" bestFit="1" customWidth="1"/>
    <col min="20" max="20" width="11.42578125" bestFit="1" customWidth="1"/>
  </cols>
  <sheetData>
    <row r="1" spans="1:20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</row>
    <row r="2" spans="1:20" x14ac:dyDescent="0.25">
      <c r="A2" s="8" t="s">
        <v>89</v>
      </c>
      <c r="B2" s="5" t="s">
        <v>187</v>
      </c>
      <c r="C2" s="6" t="s">
        <v>66</v>
      </c>
      <c r="D2" s="6"/>
      <c r="E2" s="7">
        <v>150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150</v>
      </c>
      <c r="S2" s="5">
        <v>201212</v>
      </c>
      <c r="T2" s="15" t="s">
        <v>233</v>
      </c>
    </row>
    <row r="3" spans="1:20" x14ac:dyDescent="0.25">
      <c r="A3" s="9" t="s">
        <v>90</v>
      </c>
      <c r="B3" s="2" t="s">
        <v>188</v>
      </c>
      <c r="C3" s="3" t="s">
        <v>66</v>
      </c>
      <c r="D3" s="3"/>
      <c r="E3" s="4">
        <v>37020.480000000003</v>
      </c>
      <c r="F3" s="4">
        <v>-15566.46</v>
      </c>
      <c r="G3" s="4">
        <v>29662.45</v>
      </c>
      <c r="H3" s="4">
        <v>-13503.33</v>
      </c>
      <c r="I3" s="4">
        <v>-1738.12</v>
      </c>
      <c r="J3" s="4">
        <v>13449.38</v>
      </c>
      <c r="K3" s="4">
        <v>-16639.599999999999</v>
      </c>
      <c r="L3" s="4">
        <v>8102.23</v>
      </c>
      <c r="M3" s="4">
        <v>13712.65</v>
      </c>
      <c r="N3" s="4">
        <v>4978.05</v>
      </c>
      <c r="O3" s="4">
        <v>-44413.95</v>
      </c>
      <c r="P3" s="4">
        <v>36388.230000000003</v>
      </c>
      <c r="Q3" s="4">
        <v>25149.59</v>
      </c>
      <c r="R3" s="4">
        <v>76601.600000000006</v>
      </c>
      <c r="S3" s="2">
        <v>201212</v>
      </c>
      <c r="T3" s="16" t="s">
        <v>233</v>
      </c>
    </row>
    <row r="4" spans="1:20" x14ac:dyDescent="0.25">
      <c r="A4" s="9" t="s">
        <v>91</v>
      </c>
      <c r="B4" s="2" t="s">
        <v>20</v>
      </c>
      <c r="C4" s="3" t="s">
        <v>66</v>
      </c>
      <c r="D4" s="3"/>
      <c r="E4" s="4">
        <v>-18480.27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11154</v>
      </c>
      <c r="R4" s="4">
        <v>-7326.27</v>
      </c>
      <c r="S4" s="2">
        <v>201212</v>
      </c>
      <c r="T4" s="16" t="s">
        <v>233</v>
      </c>
    </row>
    <row r="5" spans="1:20" x14ac:dyDescent="0.25">
      <c r="A5" s="9" t="s">
        <v>92</v>
      </c>
      <c r="B5" s="2" t="s">
        <v>21</v>
      </c>
      <c r="C5" s="3" t="s">
        <v>66</v>
      </c>
      <c r="D5" s="3"/>
      <c r="E5" s="4">
        <v>18287.75</v>
      </c>
      <c r="F5" s="4">
        <v>0</v>
      </c>
      <c r="G5" s="4">
        <v>-11091.2</v>
      </c>
      <c r="H5" s="4">
        <v>7541.76</v>
      </c>
      <c r="I5" s="4">
        <v>-12868.02</v>
      </c>
      <c r="J5" s="4">
        <v>0</v>
      </c>
      <c r="K5" s="4">
        <v>6735.53</v>
      </c>
      <c r="L5" s="4">
        <v>-62</v>
      </c>
      <c r="M5" s="4">
        <v>-3322</v>
      </c>
      <c r="N5" s="4">
        <v>-20</v>
      </c>
      <c r="O5" s="4">
        <v>13620.22</v>
      </c>
      <c r="P5" s="4">
        <v>446</v>
      </c>
      <c r="Q5" s="4">
        <v>-11941.62</v>
      </c>
      <c r="R5" s="4">
        <v>7326.42</v>
      </c>
      <c r="S5" s="2">
        <v>201212</v>
      </c>
      <c r="T5" s="16" t="s">
        <v>233</v>
      </c>
    </row>
    <row r="6" spans="1:20" x14ac:dyDescent="0.25">
      <c r="A6" s="9" t="s">
        <v>93</v>
      </c>
      <c r="B6" s="2" t="s">
        <v>22</v>
      </c>
      <c r="C6" s="3" t="s">
        <v>66</v>
      </c>
      <c r="D6" s="3"/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2">
        <v>201212</v>
      </c>
      <c r="T6" s="16" t="s">
        <v>233</v>
      </c>
    </row>
    <row r="7" spans="1:20" x14ac:dyDescent="0.25">
      <c r="A7" s="9" t="s">
        <v>94</v>
      </c>
      <c r="B7" s="2" t="s">
        <v>189</v>
      </c>
      <c r="C7" s="3" t="s">
        <v>66</v>
      </c>
      <c r="D7" s="3"/>
      <c r="E7" s="4">
        <v>6514.29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6514.29</v>
      </c>
      <c r="S7" s="2">
        <v>201212</v>
      </c>
      <c r="T7" s="16" t="s">
        <v>233</v>
      </c>
    </row>
    <row r="8" spans="1:20" x14ac:dyDescent="0.25">
      <c r="A8" s="9" t="s">
        <v>95</v>
      </c>
      <c r="B8" s="2" t="s">
        <v>23</v>
      </c>
      <c r="C8" s="3" t="s">
        <v>66</v>
      </c>
      <c r="D8" s="3"/>
      <c r="E8" s="4">
        <v>33709.56</v>
      </c>
      <c r="F8" s="4">
        <v>4.43</v>
      </c>
      <c r="G8" s="4">
        <v>3.97</v>
      </c>
      <c r="H8" s="4">
        <v>2.77</v>
      </c>
      <c r="I8" s="4">
        <v>2.86</v>
      </c>
      <c r="J8" s="4">
        <v>2.86</v>
      </c>
      <c r="K8" s="4">
        <v>2.68</v>
      </c>
      <c r="L8" s="4">
        <v>2.96</v>
      </c>
      <c r="M8" s="4">
        <v>2.87</v>
      </c>
      <c r="N8" s="4">
        <v>2.59</v>
      </c>
      <c r="O8" s="4">
        <v>3.05</v>
      </c>
      <c r="P8" s="4">
        <v>2.77</v>
      </c>
      <c r="Q8" s="4">
        <v>3002.91</v>
      </c>
      <c r="R8" s="4">
        <v>36746.28</v>
      </c>
      <c r="S8" s="2">
        <v>201212</v>
      </c>
      <c r="T8" s="16" t="s">
        <v>233</v>
      </c>
    </row>
    <row r="9" spans="1:20" x14ac:dyDescent="0.25">
      <c r="A9" s="9" t="s">
        <v>96</v>
      </c>
      <c r="B9" s="2" t="s">
        <v>190</v>
      </c>
      <c r="C9" s="3" t="s">
        <v>66</v>
      </c>
      <c r="D9" s="3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2">
        <v>201212</v>
      </c>
      <c r="T9" s="16" t="s">
        <v>233</v>
      </c>
    </row>
    <row r="10" spans="1:20" x14ac:dyDescent="0.25">
      <c r="A10" s="9" t="s">
        <v>97</v>
      </c>
      <c r="B10" s="2" t="s">
        <v>24</v>
      </c>
      <c r="C10" s="3" t="s">
        <v>66</v>
      </c>
      <c r="D10" s="3"/>
      <c r="E10" s="4">
        <v>82007.92</v>
      </c>
      <c r="F10" s="4">
        <v>3011.11</v>
      </c>
      <c r="G10" s="4">
        <v>3010.31</v>
      </c>
      <c r="H10" s="4">
        <v>3007.47</v>
      </c>
      <c r="I10" s="4">
        <v>3007.94</v>
      </c>
      <c r="J10" s="4">
        <v>3008.22</v>
      </c>
      <c r="K10" s="4">
        <v>3007.86</v>
      </c>
      <c r="L10" s="4">
        <v>3013.44</v>
      </c>
      <c r="M10" s="4">
        <v>3013.49</v>
      </c>
      <c r="N10" s="4">
        <v>3012.48</v>
      </c>
      <c r="O10" s="4">
        <v>3015.13</v>
      </c>
      <c r="P10" s="4">
        <v>3014.18</v>
      </c>
      <c r="Q10" s="4">
        <v>3014.98</v>
      </c>
      <c r="R10" s="4">
        <v>118144.53</v>
      </c>
      <c r="S10" s="2">
        <v>201212</v>
      </c>
      <c r="T10" s="16" t="s">
        <v>233</v>
      </c>
    </row>
    <row r="11" spans="1:20" x14ac:dyDescent="0.25">
      <c r="A11" s="9" t="s">
        <v>98</v>
      </c>
      <c r="B11" s="2" t="s">
        <v>191</v>
      </c>
      <c r="C11" s="3" t="s">
        <v>66</v>
      </c>
      <c r="D11" s="3"/>
      <c r="E11" s="4">
        <v>344596.16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344596.16</v>
      </c>
      <c r="S11" s="2">
        <v>201212</v>
      </c>
      <c r="T11" s="16" t="s">
        <v>233</v>
      </c>
    </row>
    <row r="12" spans="1:20" x14ac:dyDescent="0.25">
      <c r="A12" s="9" t="s">
        <v>99</v>
      </c>
      <c r="B12" s="2" t="s">
        <v>192</v>
      </c>
      <c r="C12" s="3" t="s">
        <v>66</v>
      </c>
      <c r="D12" s="3"/>
      <c r="E12" s="4">
        <v>3370296.2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-154145</v>
      </c>
      <c r="R12" s="4">
        <v>3216151.2</v>
      </c>
      <c r="S12" s="2">
        <v>201212</v>
      </c>
      <c r="T12" s="16" t="s">
        <v>233</v>
      </c>
    </row>
    <row r="13" spans="1:20" x14ac:dyDescent="0.25">
      <c r="A13" s="9" t="s">
        <v>100</v>
      </c>
      <c r="B13" s="2" t="s">
        <v>25</v>
      </c>
      <c r="C13" s="3" t="s">
        <v>66</v>
      </c>
      <c r="D13" s="3"/>
      <c r="E13" s="4">
        <v>34517.5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154416.41</v>
      </c>
      <c r="R13" s="4">
        <v>188933.91</v>
      </c>
      <c r="S13" s="2">
        <v>201212</v>
      </c>
      <c r="T13" s="16" t="s">
        <v>233</v>
      </c>
    </row>
    <row r="14" spans="1:20" x14ac:dyDescent="0.25">
      <c r="A14" s="9" t="s">
        <v>101</v>
      </c>
      <c r="B14" s="2" t="s">
        <v>193</v>
      </c>
      <c r="C14" s="3" t="s">
        <v>66</v>
      </c>
      <c r="D14" s="3"/>
      <c r="E14" s="4">
        <v>237394.89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237394.89</v>
      </c>
      <c r="S14" s="2">
        <v>201212</v>
      </c>
      <c r="T14" s="16" t="s">
        <v>233</v>
      </c>
    </row>
    <row r="15" spans="1:20" x14ac:dyDescent="0.25">
      <c r="A15" s="9" t="s">
        <v>102</v>
      </c>
      <c r="B15" s="2" t="s">
        <v>194</v>
      </c>
      <c r="C15" s="3" t="s">
        <v>66</v>
      </c>
      <c r="D15" s="3"/>
      <c r="E15" s="4">
        <v>73512.990000000005</v>
      </c>
      <c r="F15" s="4">
        <v>752</v>
      </c>
      <c r="G15" s="4">
        <v>1002</v>
      </c>
      <c r="H15" s="4">
        <v>0</v>
      </c>
      <c r="I15" s="4">
        <v>752</v>
      </c>
      <c r="J15" s="4">
        <v>1365</v>
      </c>
      <c r="K15" s="4">
        <v>1847</v>
      </c>
      <c r="L15" s="4">
        <v>0</v>
      </c>
      <c r="M15" s="4">
        <v>3571</v>
      </c>
      <c r="N15" s="4">
        <v>910</v>
      </c>
      <c r="O15" s="4">
        <v>255</v>
      </c>
      <c r="P15" s="4">
        <v>752</v>
      </c>
      <c r="Q15" s="4">
        <v>0</v>
      </c>
      <c r="R15" s="4">
        <v>84718.99</v>
      </c>
      <c r="S15" s="2">
        <v>201212</v>
      </c>
      <c r="T15" s="16" t="s">
        <v>233</v>
      </c>
    </row>
    <row r="16" spans="1:20" x14ac:dyDescent="0.25">
      <c r="A16" s="9" t="s">
        <v>103</v>
      </c>
      <c r="B16" s="2" t="s">
        <v>195</v>
      </c>
      <c r="C16" s="3" t="s">
        <v>66</v>
      </c>
      <c r="D16" s="3"/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">
        <v>201212</v>
      </c>
      <c r="T16" s="16" t="s">
        <v>233</v>
      </c>
    </row>
    <row r="17" spans="1:20" x14ac:dyDescent="0.25">
      <c r="A17" s="9" t="s">
        <v>104</v>
      </c>
      <c r="B17" s="2" t="s">
        <v>64</v>
      </c>
      <c r="C17" s="3" t="s">
        <v>66</v>
      </c>
      <c r="D17" s="3"/>
      <c r="E17" s="4">
        <v>600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600</v>
      </c>
      <c r="S17" s="2">
        <v>201212</v>
      </c>
      <c r="T17" s="16" t="s">
        <v>233</v>
      </c>
    </row>
    <row r="18" spans="1:20" x14ac:dyDescent="0.25">
      <c r="A18" s="9" t="s">
        <v>105</v>
      </c>
      <c r="B18" s="2" t="s">
        <v>26</v>
      </c>
      <c r="C18" s="3" t="s">
        <v>66</v>
      </c>
      <c r="D18" s="3"/>
      <c r="E18" s="4">
        <v>148628.01999999999</v>
      </c>
      <c r="F18" s="4">
        <v>422.27</v>
      </c>
      <c r="G18" s="4">
        <v>2123.1999999999998</v>
      </c>
      <c r="H18" s="4">
        <v>2264.13</v>
      </c>
      <c r="I18" s="4">
        <v>3434.62</v>
      </c>
      <c r="J18" s="4">
        <v>2889.2</v>
      </c>
      <c r="K18" s="4">
        <v>286.14999999999998</v>
      </c>
      <c r="L18" s="4">
        <v>1518.56</v>
      </c>
      <c r="M18" s="4">
        <v>3188.4</v>
      </c>
      <c r="N18" s="4">
        <v>963.23</v>
      </c>
      <c r="O18" s="4">
        <v>342.57</v>
      </c>
      <c r="P18" s="4">
        <v>0</v>
      </c>
      <c r="Q18" s="4">
        <v>896.06</v>
      </c>
      <c r="R18" s="4">
        <v>166956.41</v>
      </c>
      <c r="S18" s="2">
        <v>201212</v>
      </c>
      <c r="T18" s="16" t="s">
        <v>233</v>
      </c>
    </row>
    <row r="19" spans="1:20" x14ac:dyDescent="0.25">
      <c r="A19" s="9" t="s">
        <v>106</v>
      </c>
      <c r="B19" s="2" t="s">
        <v>65</v>
      </c>
      <c r="C19" s="3" t="s">
        <v>66</v>
      </c>
      <c r="D19" s="3"/>
      <c r="E19" s="4">
        <v>21844.68</v>
      </c>
      <c r="F19" s="4">
        <v>0</v>
      </c>
      <c r="G19" s="4">
        <v>0</v>
      </c>
      <c r="H19" s="4">
        <v>10981.19</v>
      </c>
      <c r="I19" s="4">
        <v>10981.18</v>
      </c>
      <c r="J19" s="4">
        <v>0</v>
      </c>
      <c r="K19" s="4">
        <v>0</v>
      </c>
      <c r="L19" s="4">
        <v>910</v>
      </c>
      <c r="M19" s="4">
        <v>1350</v>
      </c>
      <c r="N19" s="4">
        <v>-910</v>
      </c>
      <c r="O19" s="4">
        <v>0</v>
      </c>
      <c r="P19" s="4">
        <v>0</v>
      </c>
      <c r="Q19" s="4">
        <v>0</v>
      </c>
      <c r="R19" s="4">
        <v>45157.05</v>
      </c>
      <c r="S19" s="2">
        <v>201212</v>
      </c>
      <c r="T19" s="16" t="s">
        <v>233</v>
      </c>
    </row>
    <row r="20" spans="1:20" x14ac:dyDescent="0.25">
      <c r="A20" s="9" t="s">
        <v>107</v>
      </c>
      <c r="B20" s="2" t="s">
        <v>27</v>
      </c>
      <c r="C20" s="3" t="s">
        <v>67</v>
      </c>
      <c r="D20" s="3"/>
      <c r="E20" s="4">
        <v>-932247.83</v>
      </c>
      <c r="F20" s="4">
        <v>-23975.06</v>
      </c>
      <c r="G20" s="4">
        <v>224.95</v>
      </c>
      <c r="H20" s="4">
        <v>1522.81</v>
      </c>
      <c r="I20" s="4">
        <v>-3823.29</v>
      </c>
      <c r="J20" s="4">
        <v>-149.66</v>
      </c>
      <c r="K20" s="4">
        <v>23093.84</v>
      </c>
      <c r="L20" s="4">
        <v>-4472.6400000000003</v>
      </c>
      <c r="M20" s="4">
        <v>-2818.52</v>
      </c>
      <c r="N20" s="4">
        <v>7982.09</v>
      </c>
      <c r="O20" s="4">
        <v>56034.86</v>
      </c>
      <c r="P20" s="4">
        <v>-11837.73</v>
      </c>
      <c r="Q20" s="4">
        <v>7424.7</v>
      </c>
      <c r="R20" s="4">
        <v>-883041.48</v>
      </c>
      <c r="S20" s="2">
        <v>201212</v>
      </c>
      <c r="T20" s="16" t="s">
        <v>233</v>
      </c>
    </row>
    <row r="21" spans="1:20" x14ac:dyDescent="0.25">
      <c r="A21" s="9" t="s">
        <v>108</v>
      </c>
      <c r="B21" s="2" t="s">
        <v>28</v>
      </c>
      <c r="C21" s="3" t="s">
        <v>67</v>
      </c>
      <c r="D21" s="3"/>
      <c r="E21" s="4">
        <v>-7410.33</v>
      </c>
      <c r="F21" s="4">
        <v>7410.33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-9334.51</v>
      </c>
      <c r="R21" s="4">
        <v>-9334.51</v>
      </c>
      <c r="S21" s="2">
        <v>201212</v>
      </c>
      <c r="T21" s="16" t="s">
        <v>233</v>
      </c>
    </row>
    <row r="22" spans="1:20" x14ac:dyDescent="0.25">
      <c r="A22" s="9" t="s">
        <v>109</v>
      </c>
      <c r="B22" s="2" t="s">
        <v>29</v>
      </c>
      <c r="C22" s="3" t="s">
        <v>67</v>
      </c>
      <c r="D22" s="3"/>
      <c r="E22" s="4">
        <v>-51954.11</v>
      </c>
      <c r="F22" s="4">
        <v>-2990.72</v>
      </c>
      <c r="G22" s="4">
        <v>-240.09</v>
      </c>
      <c r="H22" s="4">
        <v>-911.57</v>
      </c>
      <c r="I22" s="4">
        <v>-475.03</v>
      </c>
      <c r="J22" s="4">
        <v>-479.68</v>
      </c>
      <c r="K22" s="4">
        <v>2535.0500000000002</v>
      </c>
      <c r="L22" s="4">
        <v>-235.48</v>
      </c>
      <c r="M22" s="4">
        <v>-297.57</v>
      </c>
      <c r="N22" s="4">
        <v>2805.92</v>
      </c>
      <c r="O22" s="4">
        <v>6690.28</v>
      </c>
      <c r="P22" s="4">
        <v>-3744.18</v>
      </c>
      <c r="Q22" s="4">
        <v>3720.15</v>
      </c>
      <c r="R22" s="4">
        <v>-45577.03</v>
      </c>
      <c r="S22" s="2">
        <v>201212</v>
      </c>
      <c r="T22" s="16" t="s">
        <v>233</v>
      </c>
    </row>
    <row r="23" spans="1:20" x14ac:dyDescent="0.25">
      <c r="A23" s="9" t="s">
        <v>110</v>
      </c>
      <c r="B23" s="2" t="s">
        <v>30</v>
      </c>
      <c r="C23" s="3" t="s">
        <v>67</v>
      </c>
      <c r="D23" s="3"/>
      <c r="E23" s="4">
        <v>-23106</v>
      </c>
      <c r="F23" s="4">
        <v>-500</v>
      </c>
      <c r="G23" s="4">
        <v>-388</v>
      </c>
      <c r="H23" s="4">
        <v>888</v>
      </c>
      <c r="I23" s="4">
        <v>-500</v>
      </c>
      <c r="J23" s="4">
        <v>-610</v>
      </c>
      <c r="K23" s="4">
        <v>308</v>
      </c>
      <c r="L23" s="4">
        <v>-955</v>
      </c>
      <c r="M23" s="4">
        <v>-1250</v>
      </c>
      <c r="N23" s="4">
        <v>-611.99</v>
      </c>
      <c r="O23" s="4">
        <v>2108.9899999999998</v>
      </c>
      <c r="P23" s="4">
        <v>0</v>
      </c>
      <c r="Q23" s="4">
        <v>506</v>
      </c>
      <c r="R23" s="4">
        <v>-24110</v>
      </c>
      <c r="S23" s="2">
        <v>201212</v>
      </c>
      <c r="T23" s="16" t="s">
        <v>233</v>
      </c>
    </row>
    <row r="24" spans="1:20" x14ac:dyDescent="0.25">
      <c r="A24" s="9" t="s">
        <v>111</v>
      </c>
      <c r="B24" s="2" t="s">
        <v>196</v>
      </c>
      <c r="C24" s="3" t="s">
        <v>67</v>
      </c>
      <c r="D24" s="3"/>
      <c r="E24" s="4">
        <v>-8880</v>
      </c>
      <c r="F24" s="4">
        <v>-400</v>
      </c>
      <c r="G24" s="4">
        <v>-960</v>
      </c>
      <c r="H24" s="4">
        <v>-840</v>
      </c>
      <c r="I24" s="4">
        <v>-500</v>
      </c>
      <c r="J24" s="4">
        <v>-350</v>
      </c>
      <c r="K24" s="4">
        <v>230</v>
      </c>
      <c r="L24" s="4">
        <v>-800</v>
      </c>
      <c r="M24" s="4">
        <v>-250</v>
      </c>
      <c r="N24" s="4">
        <v>-250</v>
      </c>
      <c r="O24" s="4">
        <v>1000</v>
      </c>
      <c r="P24" s="4">
        <v>-200</v>
      </c>
      <c r="Q24" s="4">
        <v>600</v>
      </c>
      <c r="R24" s="4">
        <v>-11600</v>
      </c>
      <c r="S24" s="2">
        <v>201212</v>
      </c>
      <c r="T24" s="16" t="s">
        <v>233</v>
      </c>
    </row>
    <row r="25" spans="1:20" x14ac:dyDescent="0.25">
      <c r="A25" s="9" t="s">
        <v>112</v>
      </c>
      <c r="B25" s="2" t="s">
        <v>197</v>
      </c>
      <c r="C25" s="3" t="s">
        <v>67</v>
      </c>
      <c r="D25" s="3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-5477</v>
      </c>
      <c r="R25" s="4">
        <v>-5477</v>
      </c>
      <c r="S25" s="2">
        <v>201212</v>
      </c>
      <c r="T25" s="16" t="s">
        <v>233</v>
      </c>
    </row>
    <row r="26" spans="1:20" x14ac:dyDescent="0.25">
      <c r="A26" s="9" t="s">
        <v>113</v>
      </c>
      <c r="B26" s="2" t="s">
        <v>198</v>
      </c>
      <c r="C26" s="3" t="s">
        <v>67</v>
      </c>
      <c r="D26" s="3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">
        <v>201212</v>
      </c>
      <c r="T26" s="16" t="s">
        <v>233</v>
      </c>
    </row>
    <row r="27" spans="1:20" x14ac:dyDescent="0.25">
      <c r="A27" s="9" t="s">
        <v>114</v>
      </c>
      <c r="B27" s="2" t="s">
        <v>199</v>
      </c>
      <c r="C27" s="3" t="s">
        <v>67</v>
      </c>
      <c r="D27" s="3"/>
      <c r="E27" s="4">
        <v>-1337664.6299999999</v>
      </c>
      <c r="F27" s="4">
        <v>33314.620000000003</v>
      </c>
      <c r="G27" s="4">
        <v>0</v>
      </c>
      <c r="H27" s="4">
        <v>34674.07</v>
      </c>
      <c r="I27" s="4">
        <v>17937.18</v>
      </c>
      <c r="J27" s="4">
        <v>17993.23</v>
      </c>
      <c r="K27" s="4">
        <v>18049.46</v>
      </c>
      <c r="L27" s="4">
        <v>18105.87</v>
      </c>
      <c r="M27" s="4">
        <v>18162.45</v>
      </c>
      <c r="N27" s="4">
        <v>18219.2</v>
      </c>
      <c r="O27" s="4">
        <v>18276.14</v>
      </c>
      <c r="P27" s="4">
        <v>18333.25</v>
      </c>
      <c r="Q27" s="4">
        <v>0</v>
      </c>
      <c r="R27" s="4">
        <v>-1124599.1599999999</v>
      </c>
      <c r="S27" s="2">
        <v>201212</v>
      </c>
      <c r="T27" s="16" t="s">
        <v>233</v>
      </c>
    </row>
    <row r="28" spans="1:20" x14ac:dyDescent="0.25">
      <c r="A28" s="9" t="s">
        <v>115</v>
      </c>
      <c r="B28" s="2" t="s">
        <v>31</v>
      </c>
      <c r="C28" s="3" t="s">
        <v>66</v>
      </c>
      <c r="D28" s="3"/>
      <c r="E28" s="4">
        <v>-1589617.63</v>
      </c>
      <c r="F28" s="4">
        <v>-10500</v>
      </c>
      <c r="G28" s="4">
        <v>-10500</v>
      </c>
      <c r="H28" s="4">
        <v>-10500</v>
      </c>
      <c r="I28" s="4">
        <v>-10500</v>
      </c>
      <c r="J28" s="4">
        <v>-8400</v>
      </c>
      <c r="K28" s="4">
        <v>-15026.04</v>
      </c>
      <c r="L28" s="4">
        <v>-10900</v>
      </c>
      <c r="M28" s="4">
        <v>-10900</v>
      </c>
      <c r="N28" s="4">
        <v>-11437.53</v>
      </c>
      <c r="O28" s="4">
        <v>-10962.62</v>
      </c>
      <c r="P28" s="4">
        <v>-10962.62</v>
      </c>
      <c r="Q28" s="4">
        <v>-11014.45</v>
      </c>
      <c r="R28" s="4">
        <v>-1721220.89</v>
      </c>
      <c r="S28" s="2">
        <v>201212</v>
      </c>
      <c r="T28" s="16" t="s">
        <v>233</v>
      </c>
    </row>
    <row r="29" spans="1:20" x14ac:dyDescent="0.25">
      <c r="A29" s="9" t="s">
        <v>116</v>
      </c>
      <c r="B29" s="2" t="s">
        <v>200</v>
      </c>
      <c r="C29" s="3" t="s">
        <v>67</v>
      </c>
      <c r="D29" s="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2">
        <v>201212</v>
      </c>
      <c r="T29" s="16" t="s">
        <v>233</v>
      </c>
    </row>
    <row r="30" spans="1:20" x14ac:dyDescent="0.25">
      <c r="A30" s="9" t="s">
        <v>117</v>
      </c>
      <c r="B30" s="2" t="s">
        <v>201</v>
      </c>
      <c r="C30" s="3" t="s">
        <v>67</v>
      </c>
      <c r="D30" s="3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">
        <v>201212</v>
      </c>
      <c r="T30" s="16" t="s">
        <v>233</v>
      </c>
    </row>
    <row r="31" spans="1:20" x14ac:dyDescent="0.25">
      <c r="A31" s="9" t="s">
        <v>118</v>
      </c>
      <c r="B31" s="2" t="s">
        <v>202</v>
      </c>
      <c r="C31" s="3" t="s">
        <v>67</v>
      </c>
      <c r="D31" s="3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">
        <v>201212</v>
      </c>
      <c r="T31" s="16" t="s">
        <v>233</v>
      </c>
    </row>
    <row r="32" spans="1:20" x14ac:dyDescent="0.25">
      <c r="A32" s="9" t="s">
        <v>119</v>
      </c>
      <c r="B32" s="2" t="s">
        <v>203</v>
      </c>
      <c r="C32" s="3" t="s">
        <v>67</v>
      </c>
      <c r="D32" s="3"/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2">
        <v>201212</v>
      </c>
      <c r="T32" s="16" t="s">
        <v>233</v>
      </c>
    </row>
    <row r="33" spans="1:20" x14ac:dyDescent="0.25">
      <c r="A33" s="9" t="s">
        <v>120</v>
      </c>
      <c r="B33" s="2" t="s">
        <v>204</v>
      </c>
      <c r="C33" s="3" t="s">
        <v>67</v>
      </c>
      <c r="D33" s="3"/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2">
        <v>201212</v>
      </c>
      <c r="T33" s="16" t="s">
        <v>233</v>
      </c>
    </row>
    <row r="34" spans="1:20" x14ac:dyDescent="0.25">
      <c r="A34" s="9" t="s">
        <v>121</v>
      </c>
      <c r="B34" s="2" t="s">
        <v>205</v>
      </c>
      <c r="C34" s="3" t="s">
        <v>67</v>
      </c>
      <c r="D34" s="3"/>
      <c r="E34" s="4">
        <v>43078.2</v>
      </c>
      <c r="F34" s="4">
        <v>86081.61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129159.81</v>
      </c>
      <c r="S34" s="2">
        <v>201212</v>
      </c>
      <c r="T34" s="16" t="s">
        <v>233</v>
      </c>
    </row>
    <row r="35" spans="1:20" x14ac:dyDescent="0.25">
      <c r="A35" s="9" t="s">
        <v>122</v>
      </c>
      <c r="B35" s="2" t="s">
        <v>206</v>
      </c>
      <c r="C35" s="3" t="s">
        <v>67</v>
      </c>
      <c r="D35" s="3"/>
      <c r="E35" s="4">
        <v>-293000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-293000</v>
      </c>
      <c r="S35" s="2">
        <v>201212</v>
      </c>
      <c r="T35" s="16" t="s">
        <v>233</v>
      </c>
    </row>
    <row r="36" spans="1:20" x14ac:dyDescent="0.25">
      <c r="A36" s="9" t="s">
        <v>123</v>
      </c>
      <c r="B36" s="2" t="s">
        <v>32</v>
      </c>
      <c r="C36" s="3" t="s">
        <v>67</v>
      </c>
      <c r="D36" s="3"/>
      <c r="E36" s="4">
        <v>505064.02</v>
      </c>
      <c r="F36" s="4">
        <v>-86081.61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418982.41</v>
      </c>
      <c r="S36" s="2">
        <v>201212</v>
      </c>
      <c r="T36" s="16" t="s">
        <v>233</v>
      </c>
    </row>
    <row r="37" spans="1:20" x14ac:dyDescent="0.25">
      <c r="A37" s="9" t="s">
        <v>124</v>
      </c>
      <c r="B37" s="2" t="s">
        <v>207</v>
      </c>
      <c r="C37" s="3" t="s">
        <v>67</v>
      </c>
      <c r="D37" s="3"/>
      <c r="E37" s="4">
        <v>-565702.05000000005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-565702.05000000005</v>
      </c>
      <c r="S37" s="2">
        <v>201212</v>
      </c>
      <c r="T37" s="16" t="s">
        <v>233</v>
      </c>
    </row>
    <row r="38" spans="1:20" x14ac:dyDescent="0.25">
      <c r="A38" s="9" t="s">
        <v>125</v>
      </c>
      <c r="B38" s="2" t="s">
        <v>33</v>
      </c>
      <c r="C38" s="3" t="s">
        <v>68</v>
      </c>
      <c r="D38" s="3"/>
      <c r="E38" s="4">
        <v>0</v>
      </c>
      <c r="F38" s="4">
        <v>-56927.73</v>
      </c>
      <c r="G38" s="4">
        <v>-61928.85</v>
      </c>
      <c r="H38" s="4">
        <v>-75307.77</v>
      </c>
      <c r="I38" s="4">
        <v>-63777.17</v>
      </c>
      <c r="J38" s="4">
        <v>-64071.87</v>
      </c>
      <c r="K38" s="4">
        <v>-64661.32</v>
      </c>
      <c r="L38" s="4">
        <v>-65044.81</v>
      </c>
      <c r="M38" s="4">
        <v>-70240.5</v>
      </c>
      <c r="N38" s="4">
        <v>-63912.24</v>
      </c>
      <c r="O38" s="4">
        <v>-71106.09</v>
      </c>
      <c r="P38" s="4">
        <v>-75413.5</v>
      </c>
      <c r="Q38" s="4">
        <v>-60822.73</v>
      </c>
      <c r="R38" s="4">
        <v>-793214.58</v>
      </c>
      <c r="S38" s="2">
        <v>201212</v>
      </c>
      <c r="T38" s="16" t="s">
        <v>233</v>
      </c>
    </row>
    <row r="39" spans="1:20" x14ac:dyDescent="0.25">
      <c r="A39" s="9" t="s">
        <v>126</v>
      </c>
      <c r="B39" s="2" t="s">
        <v>208</v>
      </c>
      <c r="C39" s="3" t="s">
        <v>68</v>
      </c>
      <c r="D39" s="3"/>
      <c r="E39" s="4">
        <v>0</v>
      </c>
      <c r="F39" s="4">
        <v>0</v>
      </c>
      <c r="G39" s="4">
        <v>0</v>
      </c>
      <c r="H39" s="4">
        <v>1985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1985</v>
      </c>
      <c r="S39" s="2">
        <v>201212</v>
      </c>
      <c r="T39" s="16" t="s">
        <v>233</v>
      </c>
    </row>
    <row r="40" spans="1:20" x14ac:dyDescent="0.25">
      <c r="A40" s="9" t="s">
        <v>127</v>
      </c>
      <c r="B40" s="2" t="s">
        <v>209</v>
      </c>
      <c r="C40" s="3" t="s">
        <v>68</v>
      </c>
      <c r="D40" s="3"/>
      <c r="E40" s="4">
        <v>0</v>
      </c>
      <c r="F40" s="4">
        <v>-2769.69</v>
      </c>
      <c r="G40" s="4">
        <v>-2905.14</v>
      </c>
      <c r="H40" s="4">
        <v>-4105.17</v>
      </c>
      <c r="I40" s="4">
        <v>-3090.01</v>
      </c>
      <c r="J40" s="4">
        <v>-3160.28</v>
      </c>
      <c r="K40" s="4">
        <v>-3003.65</v>
      </c>
      <c r="L40" s="4">
        <v>-3115.8</v>
      </c>
      <c r="M40" s="4">
        <v>-3419.43</v>
      </c>
      <c r="N40" s="4">
        <v>-3021.51</v>
      </c>
      <c r="O40" s="4">
        <v>-3375.49</v>
      </c>
      <c r="P40" s="4">
        <v>-3529.18</v>
      </c>
      <c r="Q40" s="4">
        <v>-3834.65</v>
      </c>
      <c r="R40" s="4">
        <v>-39330</v>
      </c>
      <c r="S40" s="2">
        <v>201212</v>
      </c>
      <c r="T40" s="16" t="s">
        <v>233</v>
      </c>
    </row>
    <row r="41" spans="1:20" x14ac:dyDescent="0.25">
      <c r="A41" s="9" t="s">
        <v>128</v>
      </c>
      <c r="B41" s="2" t="s">
        <v>34</v>
      </c>
      <c r="C41" s="3" t="s">
        <v>68</v>
      </c>
      <c r="D41" s="3"/>
      <c r="E41" s="4">
        <v>0</v>
      </c>
      <c r="F41" s="4">
        <v>1987</v>
      </c>
      <c r="G41" s="4">
        <v>3178</v>
      </c>
      <c r="H41" s="4">
        <v>1160</v>
      </c>
      <c r="I41" s="4">
        <v>1935</v>
      </c>
      <c r="J41" s="4">
        <v>0</v>
      </c>
      <c r="K41" s="4">
        <v>604.62</v>
      </c>
      <c r="L41" s="4">
        <v>1285</v>
      </c>
      <c r="M41" s="4">
        <v>585</v>
      </c>
      <c r="N41" s="4">
        <v>1526</v>
      </c>
      <c r="O41" s="4">
        <v>-1530</v>
      </c>
      <c r="P41" s="4">
        <v>1323</v>
      </c>
      <c r="Q41" s="4">
        <v>1285</v>
      </c>
      <c r="R41" s="4">
        <v>13338.62</v>
      </c>
      <c r="S41" s="2">
        <v>201212</v>
      </c>
      <c r="T41" s="16" t="s">
        <v>233</v>
      </c>
    </row>
    <row r="42" spans="1:20" x14ac:dyDescent="0.25">
      <c r="A42" s="9" t="s">
        <v>129</v>
      </c>
      <c r="B42" s="2" t="s">
        <v>35</v>
      </c>
      <c r="C42" s="3" t="s">
        <v>68</v>
      </c>
      <c r="D42" s="3"/>
      <c r="E42" s="4">
        <v>0</v>
      </c>
      <c r="F42" s="4">
        <v>-15.54</v>
      </c>
      <c r="G42" s="4">
        <v>-14.28</v>
      </c>
      <c r="H42" s="4">
        <v>-10.24</v>
      </c>
      <c r="I42" s="4">
        <v>-10.8</v>
      </c>
      <c r="J42" s="4">
        <v>-11.08</v>
      </c>
      <c r="K42" s="4">
        <v>-10.54</v>
      </c>
      <c r="L42" s="4">
        <v>-16.399999999999999</v>
      </c>
      <c r="M42" s="4">
        <v>-16.36</v>
      </c>
      <c r="N42" s="4">
        <v>-15.07</v>
      </c>
      <c r="O42" s="4">
        <v>-18.18</v>
      </c>
      <c r="P42" s="4">
        <v>-16.95</v>
      </c>
      <c r="Q42" s="4">
        <v>-17.89</v>
      </c>
      <c r="R42" s="4">
        <v>-173.33</v>
      </c>
      <c r="S42" s="2">
        <v>201212</v>
      </c>
      <c r="T42" s="16" t="s">
        <v>233</v>
      </c>
    </row>
    <row r="43" spans="1:20" x14ac:dyDescent="0.25">
      <c r="A43" s="9" t="s">
        <v>130</v>
      </c>
      <c r="B43" s="2" t="s">
        <v>210</v>
      </c>
      <c r="C43" s="3" t="s">
        <v>68</v>
      </c>
      <c r="D43" s="3"/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2">
        <v>201212</v>
      </c>
      <c r="T43" s="16" t="s">
        <v>233</v>
      </c>
    </row>
    <row r="44" spans="1:20" x14ac:dyDescent="0.25">
      <c r="A44" s="9" t="s">
        <v>131</v>
      </c>
      <c r="B44" s="2" t="s">
        <v>36</v>
      </c>
      <c r="C44" s="3" t="s">
        <v>68</v>
      </c>
      <c r="D44" s="3"/>
      <c r="E44" s="4">
        <v>0</v>
      </c>
      <c r="F44" s="4">
        <v>-688.94</v>
      </c>
      <c r="G44" s="4">
        <v>-958.07</v>
      </c>
      <c r="H44" s="4">
        <v>-729.02</v>
      </c>
      <c r="I44" s="4">
        <v>-811.16</v>
      </c>
      <c r="J44" s="4">
        <v>-900.16</v>
      </c>
      <c r="K44" s="4">
        <v>-713.04</v>
      </c>
      <c r="L44" s="4">
        <v>-702.52</v>
      </c>
      <c r="M44" s="4">
        <v>-663.44</v>
      </c>
      <c r="N44" s="4">
        <v>-725.96</v>
      </c>
      <c r="O44" s="4">
        <v>-853.04</v>
      </c>
      <c r="P44" s="4">
        <v>-517.28</v>
      </c>
      <c r="Q44" s="4">
        <v>-1156.33</v>
      </c>
      <c r="R44" s="4">
        <v>-9418.9599999999991</v>
      </c>
      <c r="S44" s="2">
        <v>201212</v>
      </c>
      <c r="T44" s="16" t="s">
        <v>233</v>
      </c>
    </row>
    <row r="45" spans="1:20" x14ac:dyDescent="0.25">
      <c r="A45" s="9" t="s">
        <v>132</v>
      </c>
      <c r="B45" s="2" t="s">
        <v>37</v>
      </c>
      <c r="C45" s="3" t="s">
        <v>68</v>
      </c>
      <c r="D45" s="3"/>
      <c r="E45" s="4">
        <v>0</v>
      </c>
      <c r="F45" s="4">
        <v>-670</v>
      </c>
      <c r="G45" s="4">
        <v>-779</v>
      </c>
      <c r="H45" s="4">
        <v>-1644</v>
      </c>
      <c r="I45" s="4">
        <v>-630</v>
      </c>
      <c r="J45" s="4">
        <v>-530</v>
      </c>
      <c r="K45" s="4">
        <v>-1111</v>
      </c>
      <c r="L45" s="4">
        <v>-835</v>
      </c>
      <c r="M45" s="4">
        <v>-1120</v>
      </c>
      <c r="N45" s="4">
        <v>-770</v>
      </c>
      <c r="O45" s="4">
        <v>-1400</v>
      </c>
      <c r="P45" s="4">
        <v>-740</v>
      </c>
      <c r="Q45" s="4">
        <v>-1060</v>
      </c>
      <c r="R45" s="4">
        <v>-11289</v>
      </c>
      <c r="S45" s="2">
        <v>201212</v>
      </c>
      <c r="T45" s="16" t="s">
        <v>233</v>
      </c>
    </row>
    <row r="46" spans="1:20" x14ac:dyDescent="0.25">
      <c r="A46" s="9" t="s">
        <v>133</v>
      </c>
      <c r="B46" s="2" t="s">
        <v>211</v>
      </c>
      <c r="C46" s="3" t="s">
        <v>68</v>
      </c>
      <c r="D46" s="3"/>
      <c r="E46" s="4">
        <v>0</v>
      </c>
      <c r="F46" s="4">
        <v>0</v>
      </c>
      <c r="G46" s="4">
        <v>-610</v>
      </c>
      <c r="H46" s="4">
        <v>-5280.49</v>
      </c>
      <c r="I46" s="4">
        <v>0</v>
      </c>
      <c r="J46" s="4">
        <v>0</v>
      </c>
      <c r="K46" s="4">
        <v>-1345</v>
      </c>
      <c r="L46" s="4">
        <v>0</v>
      </c>
      <c r="M46" s="4">
        <v>0</v>
      </c>
      <c r="N46" s="4">
        <v>0</v>
      </c>
      <c r="O46" s="4">
        <v>-4145</v>
      </c>
      <c r="P46" s="4">
        <v>0</v>
      </c>
      <c r="Q46" s="4">
        <v>0</v>
      </c>
      <c r="R46" s="4">
        <v>-11380.49</v>
      </c>
      <c r="S46" s="2">
        <v>201212</v>
      </c>
      <c r="T46" s="16" t="s">
        <v>233</v>
      </c>
    </row>
    <row r="47" spans="1:20" x14ac:dyDescent="0.25">
      <c r="A47" s="9" t="s">
        <v>134</v>
      </c>
      <c r="B47" s="2" t="s">
        <v>212</v>
      </c>
      <c r="C47" s="3" t="s">
        <v>68</v>
      </c>
      <c r="D47" s="3"/>
      <c r="E47" s="4">
        <v>0</v>
      </c>
      <c r="F47" s="4">
        <v>-745.13</v>
      </c>
      <c r="G47" s="4">
        <v>-478.13</v>
      </c>
      <c r="H47" s="4">
        <v>-504.69</v>
      </c>
      <c r="I47" s="4">
        <v>-559.13</v>
      </c>
      <c r="J47" s="4">
        <v>-913.64</v>
      </c>
      <c r="K47" s="4">
        <v>-595.9</v>
      </c>
      <c r="L47" s="4">
        <v>-1772.84</v>
      </c>
      <c r="M47" s="4">
        <v>-1181.3900000000001</v>
      </c>
      <c r="N47" s="4">
        <v>-3222.71</v>
      </c>
      <c r="O47" s="4">
        <v>-1001.44</v>
      </c>
      <c r="P47" s="4">
        <v>-859.44</v>
      </c>
      <c r="Q47" s="4">
        <v>-1741.75</v>
      </c>
      <c r="R47" s="4">
        <v>-13576.19</v>
      </c>
      <c r="S47" s="2">
        <v>201212</v>
      </c>
      <c r="T47" s="16" t="s">
        <v>233</v>
      </c>
    </row>
    <row r="48" spans="1:20" x14ac:dyDescent="0.25">
      <c r="A48" s="9" t="s">
        <v>135</v>
      </c>
      <c r="B48" s="2" t="s">
        <v>213</v>
      </c>
      <c r="C48" s="3" t="s">
        <v>68</v>
      </c>
      <c r="D48" s="3"/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">
        <v>201212</v>
      </c>
      <c r="T48" s="16" t="s">
        <v>233</v>
      </c>
    </row>
    <row r="49" spans="1:20" x14ac:dyDescent="0.25">
      <c r="A49" s="9" t="s">
        <v>136</v>
      </c>
      <c r="B49" s="2" t="s">
        <v>38</v>
      </c>
      <c r="C49" s="3" t="s">
        <v>69</v>
      </c>
      <c r="D49" s="3"/>
      <c r="E49" s="4">
        <v>0</v>
      </c>
      <c r="F49" s="4">
        <v>-2.5</v>
      </c>
      <c r="G49" s="4">
        <v>290</v>
      </c>
      <c r="H49" s="4">
        <v>290</v>
      </c>
      <c r="I49" s="4">
        <v>1044.95</v>
      </c>
      <c r="J49" s="4">
        <v>290</v>
      </c>
      <c r="K49" s="4">
        <v>1284.24</v>
      </c>
      <c r="L49" s="4">
        <v>0</v>
      </c>
      <c r="M49" s="4">
        <v>989</v>
      </c>
      <c r="N49" s="4">
        <v>290</v>
      </c>
      <c r="O49" s="4">
        <v>860</v>
      </c>
      <c r="P49" s="4">
        <v>290</v>
      </c>
      <c r="Q49" s="4">
        <v>699</v>
      </c>
      <c r="R49" s="4">
        <v>6324.69</v>
      </c>
      <c r="S49" s="2">
        <v>201212</v>
      </c>
      <c r="T49" s="16" t="s">
        <v>233</v>
      </c>
    </row>
    <row r="50" spans="1:20" x14ac:dyDescent="0.25">
      <c r="A50" s="9" t="s">
        <v>137</v>
      </c>
      <c r="B50" s="2" t="s">
        <v>39</v>
      </c>
      <c r="C50" s="3" t="s">
        <v>69</v>
      </c>
      <c r="D50" s="3"/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2">
        <v>201212</v>
      </c>
      <c r="T50" s="16" t="s">
        <v>233</v>
      </c>
    </row>
    <row r="51" spans="1:20" x14ac:dyDescent="0.25">
      <c r="A51" s="9" t="s">
        <v>138</v>
      </c>
      <c r="B51" s="2" t="s">
        <v>40</v>
      </c>
      <c r="C51" s="3" t="s">
        <v>69</v>
      </c>
      <c r="D51" s="3"/>
      <c r="E51" s="4">
        <v>0</v>
      </c>
      <c r="F51" s="4">
        <v>0</v>
      </c>
      <c r="G51" s="4">
        <v>311.68</v>
      </c>
      <c r="H51" s="4">
        <v>0</v>
      </c>
      <c r="I51" s="4">
        <v>125.43</v>
      </c>
      <c r="J51" s="4">
        <v>20.68</v>
      </c>
      <c r="K51" s="4">
        <v>25.1</v>
      </c>
      <c r="L51" s="4">
        <v>119.81</v>
      </c>
      <c r="M51" s="4">
        <v>32.659999999999997</v>
      </c>
      <c r="N51" s="4">
        <v>19.73</v>
      </c>
      <c r="O51" s="4">
        <v>50.95</v>
      </c>
      <c r="P51" s="4">
        <v>145.53</v>
      </c>
      <c r="Q51" s="4">
        <v>203.88</v>
      </c>
      <c r="R51" s="4">
        <v>1055.45</v>
      </c>
      <c r="S51" s="2">
        <v>201212</v>
      </c>
      <c r="T51" s="16" t="s">
        <v>233</v>
      </c>
    </row>
    <row r="52" spans="1:20" x14ac:dyDescent="0.25">
      <c r="A52" s="9" t="s">
        <v>139</v>
      </c>
      <c r="B52" s="2" t="s">
        <v>41</v>
      </c>
      <c r="C52" s="3" t="s">
        <v>69</v>
      </c>
      <c r="D52" s="3"/>
      <c r="E52" s="4">
        <v>0</v>
      </c>
      <c r="F52" s="4">
        <v>25.7</v>
      </c>
      <c r="G52" s="4">
        <v>23.35</v>
      </c>
      <c r="H52" s="4">
        <v>30.25</v>
      </c>
      <c r="I52" s="4">
        <v>30.3</v>
      </c>
      <c r="J52" s="4">
        <v>24.1</v>
      </c>
      <c r="K52" s="4">
        <v>28.15</v>
      </c>
      <c r="L52" s="4">
        <v>24.7</v>
      </c>
      <c r="M52" s="4">
        <v>25.9</v>
      </c>
      <c r="N52" s="4">
        <v>27.55</v>
      </c>
      <c r="O52" s="4">
        <v>18.649999999999999</v>
      </c>
      <c r="P52" s="4">
        <v>21.6</v>
      </c>
      <c r="Q52" s="4">
        <v>20.34</v>
      </c>
      <c r="R52" s="4">
        <v>300.58999999999997</v>
      </c>
      <c r="S52" s="2">
        <v>201212</v>
      </c>
      <c r="T52" s="16" t="s">
        <v>233</v>
      </c>
    </row>
    <row r="53" spans="1:20" x14ac:dyDescent="0.25">
      <c r="A53" s="9" t="s">
        <v>140</v>
      </c>
      <c r="B53" s="2" t="s">
        <v>214</v>
      </c>
      <c r="C53" s="3" t="s">
        <v>69</v>
      </c>
      <c r="D53" s="3"/>
      <c r="E53" s="4">
        <v>0</v>
      </c>
      <c r="F53" s="4">
        <v>2990.72</v>
      </c>
      <c r="G53" s="4">
        <v>3224.06</v>
      </c>
      <c r="H53" s="4">
        <v>3729.17</v>
      </c>
      <c r="I53" s="4">
        <v>3346.62</v>
      </c>
      <c r="J53" s="4">
        <v>3478.8</v>
      </c>
      <c r="K53" s="4">
        <v>3406.09</v>
      </c>
      <c r="L53" s="4">
        <v>3509.3</v>
      </c>
      <c r="M53" s="4">
        <v>3801.95</v>
      </c>
      <c r="N53" s="4">
        <v>3506.35</v>
      </c>
      <c r="O53" s="4">
        <v>3513.02</v>
      </c>
      <c r="P53" s="4">
        <v>3744.18</v>
      </c>
      <c r="Q53" s="4">
        <v>3325.55</v>
      </c>
      <c r="R53" s="4">
        <v>41575.81</v>
      </c>
      <c r="S53" s="2">
        <v>201212</v>
      </c>
      <c r="T53" s="16" t="s">
        <v>233</v>
      </c>
    </row>
    <row r="54" spans="1:20" x14ac:dyDescent="0.25">
      <c r="A54" s="9" t="s">
        <v>141</v>
      </c>
      <c r="B54" s="2" t="s">
        <v>215</v>
      </c>
      <c r="C54" s="3" t="s">
        <v>69</v>
      </c>
      <c r="D54" s="3"/>
      <c r="E54" s="4">
        <v>0</v>
      </c>
      <c r="F54" s="4">
        <v>1182</v>
      </c>
      <c r="G54" s="4">
        <v>1182</v>
      </c>
      <c r="H54" s="4">
        <v>1182</v>
      </c>
      <c r="I54" s="4">
        <v>1182</v>
      </c>
      <c r="J54" s="4">
        <v>1727</v>
      </c>
      <c r="K54" s="4">
        <v>1182</v>
      </c>
      <c r="L54" s="4">
        <v>1182</v>
      </c>
      <c r="M54" s="4">
        <v>1182</v>
      </c>
      <c r="N54" s="4">
        <v>1182</v>
      </c>
      <c r="O54" s="4">
        <v>1211.5</v>
      </c>
      <c r="P54" s="4">
        <v>1813.8</v>
      </c>
      <c r="Q54" s="4">
        <v>1241</v>
      </c>
      <c r="R54" s="4">
        <v>15449.3</v>
      </c>
      <c r="S54" s="2">
        <v>201212</v>
      </c>
      <c r="T54" s="16" t="s">
        <v>233</v>
      </c>
    </row>
    <row r="55" spans="1:20" x14ac:dyDescent="0.25">
      <c r="A55" s="9" t="s">
        <v>142</v>
      </c>
      <c r="B55" s="2" t="s">
        <v>216</v>
      </c>
      <c r="C55" s="3" t="s">
        <v>69</v>
      </c>
      <c r="D55" s="3"/>
      <c r="E55" s="4">
        <v>0</v>
      </c>
      <c r="F55" s="4">
        <v>570</v>
      </c>
      <c r="G55" s="4">
        <v>1191.45</v>
      </c>
      <c r="H55" s="4">
        <v>0</v>
      </c>
      <c r="I55" s="4">
        <v>3364.4</v>
      </c>
      <c r="J55" s="4">
        <v>136.5</v>
      </c>
      <c r="K55" s="4">
        <v>-420</v>
      </c>
      <c r="L55" s="4">
        <v>235</v>
      </c>
      <c r="M55" s="4">
        <v>285</v>
      </c>
      <c r="N55" s="4">
        <v>285</v>
      </c>
      <c r="O55" s="4">
        <v>-755</v>
      </c>
      <c r="P55" s="4">
        <v>0</v>
      </c>
      <c r="Q55" s="4">
        <v>0</v>
      </c>
      <c r="R55" s="4">
        <v>4892.3500000000004</v>
      </c>
      <c r="S55" s="2">
        <v>201212</v>
      </c>
      <c r="T55" s="16" t="s">
        <v>233</v>
      </c>
    </row>
    <row r="56" spans="1:20" x14ac:dyDescent="0.25">
      <c r="A56" s="9" t="s">
        <v>143</v>
      </c>
      <c r="B56" s="2" t="s">
        <v>43</v>
      </c>
      <c r="C56" s="3" t="s">
        <v>69</v>
      </c>
      <c r="D56" s="3"/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2">
        <v>201212</v>
      </c>
      <c r="T56" s="16" t="s">
        <v>233</v>
      </c>
    </row>
    <row r="57" spans="1:20" x14ac:dyDescent="0.25">
      <c r="A57" s="9" t="s">
        <v>144</v>
      </c>
      <c r="B57" s="2" t="s">
        <v>44</v>
      </c>
      <c r="C57" s="3" t="s">
        <v>69</v>
      </c>
      <c r="D57" s="3"/>
      <c r="E57" s="4">
        <v>0</v>
      </c>
      <c r="F57" s="4">
        <v>324.47000000000003</v>
      </c>
      <c r="G57" s="4">
        <v>493.98</v>
      </c>
      <c r="H57" s="4">
        <v>580</v>
      </c>
      <c r="I57" s="4">
        <v>535.67999999999995</v>
      </c>
      <c r="J57" s="4">
        <v>574.58000000000004</v>
      </c>
      <c r="K57" s="4">
        <v>482.19</v>
      </c>
      <c r="L57" s="4">
        <v>544.92999999999995</v>
      </c>
      <c r="M57" s="4">
        <v>768.96</v>
      </c>
      <c r="N57" s="4">
        <v>438.24</v>
      </c>
      <c r="O57" s="4">
        <v>506.67</v>
      </c>
      <c r="P57" s="4">
        <v>671.9</v>
      </c>
      <c r="Q57" s="4">
        <v>746.17</v>
      </c>
      <c r="R57" s="4">
        <v>6667.77</v>
      </c>
      <c r="S57" s="2">
        <v>201212</v>
      </c>
      <c r="T57" s="16" t="s">
        <v>233</v>
      </c>
    </row>
    <row r="58" spans="1:20" x14ac:dyDescent="0.25">
      <c r="A58" s="9" t="s">
        <v>145</v>
      </c>
      <c r="B58" s="2" t="s">
        <v>217</v>
      </c>
      <c r="C58" s="3" t="s">
        <v>69</v>
      </c>
      <c r="D58" s="3"/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142.9</v>
      </c>
      <c r="N58" s="4">
        <v>64.95</v>
      </c>
      <c r="O58" s="4">
        <v>64.95</v>
      </c>
      <c r="P58" s="4">
        <v>511.89</v>
      </c>
      <c r="Q58" s="4">
        <v>64.95</v>
      </c>
      <c r="R58" s="4">
        <v>849.64</v>
      </c>
      <c r="S58" s="2">
        <v>201212</v>
      </c>
      <c r="T58" s="16" t="s">
        <v>233</v>
      </c>
    </row>
    <row r="59" spans="1:20" x14ac:dyDescent="0.25">
      <c r="A59" s="9" t="s">
        <v>146</v>
      </c>
      <c r="B59" s="2" t="s">
        <v>45</v>
      </c>
      <c r="C59" s="3" t="s">
        <v>69</v>
      </c>
      <c r="D59" s="3"/>
      <c r="E59" s="4">
        <v>0</v>
      </c>
      <c r="F59" s="4">
        <v>198.52</v>
      </c>
      <c r="G59" s="4">
        <v>408.21</v>
      </c>
      <c r="H59" s="4">
        <v>299.51</v>
      </c>
      <c r="I59" s="4">
        <v>143.41</v>
      </c>
      <c r="J59" s="4">
        <v>449.99</v>
      </c>
      <c r="K59" s="4">
        <v>673.95</v>
      </c>
      <c r="L59" s="4">
        <v>293.14999999999998</v>
      </c>
      <c r="M59" s="4">
        <v>381.39</v>
      </c>
      <c r="N59" s="4">
        <v>10.9</v>
      </c>
      <c r="O59" s="4">
        <v>217.56</v>
      </c>
      <c r="P59" s="4">
        <v>432.06</v>
      </c>
      <c r="Q59" s="4">
        <v>273.14999999999998</v>
      </c>
      <c r="R59" s="4">
        <v>3781.8</v>
      </c>
      <c r="S59" s="2">
        <v>201212</v>
      </c>
      <c r="T59" s="16" t="s">
        <v>233</v>
      </c>
    </row>
    <row r="60" spans="1:20" x14ac:dyDescent="0.25">
      <c r="A60" s="9" t="s">
        <v>147</v>
      </c>
      <c r="B60" s="2" t="s">
        <v>218</v>
      </c>
      <c r="C60" s="3" t="s">
        <v>69</v>
      </c>
      <c r="D60" s="3"/>
      <c r="E60" s="4">
        <v>0</v>
      </c>
      <c r="F60" s="4">
        <v>36.630000000000003</v>
      </c>
      <c r="G60" s="4">
        <v>800.08</v>
      </c>
      <c r="H60" s="4">
        <v>758.09</v>
      </c>
      <c r="I60" s="4">
        <v>656.59</v>
      </c>
      <c r="J60" s="4">
        <v>313.77</v>
      </c>
      <c r="K60" s="4">
        <v>251.09</v>
      </c>
      <c r="L60" s="4">
        <v>277.51</v>
      </c>
      <c r="M60" s="4">
        <v>414.72</v>
      </c>
      <c r="N60" s="4">
        <v>211.7</v>
      </c>
      <c r="O60" s="4">
        <v>888.75</v>
      </c>
      <c r="P60" s="4">
        <v>370.79</v>
      </c>
      <c r="Q60" s="4">
        <v>369.9</v>
      </c>
      <c r="R60" s="4">
        <v>5349.62</v>
      </c>
      <c r="S60" s="2">
        <v>201212</v>
      </c>
      <c r="T60" s="16" t="s">
        <v>233</v>
      </c>
    </row>
    <row r="61" spans="1:20" x14ac:dyDescent="0.25">
      <c r="A61" s="9" t="s">
        <v>148</v>
      </c>
      <c r="B61" s="2" t="s">
        <v>219</v>
      </c>
      <c r="C61" s="3" t="s">
        <v>69</v>
      </c>
      <c r="D61" s="3"/>
      <c r="E61" s="4">
        <v>0</v>
      </c>
      <c r="F61" s="4">
        <v>0</v>
      </c>
      <c r="G61" s="4">
        <v>0</v>
      </c>
      <c r="H61" s="4">
        <v>0</v>
      </c>
      <c r="I61" s="4">
        <v>96</v>
      </c>
      <c r="J61" s="4">
        <v>539.78</v>
      </c>
      <c r="K61" s="4">
        <v>0</v>
      </c>
      <c r="L61" s="4">
        <v>0</v>
      </c>
      <c r="M61" s="4">
        <v>50</v>
      </c>
      <c r="N61" s="4">
        <v>0</v>
      </c>
      <c r="O61" s="4">
        <v>0</v>
      </c>
      <c r="P61" s="4">
        <v>0</v>
      </c>
      <c r="Q61" s="4">
        <v>0</v>
      </c>
      <c r="R61" s="4">
        <v>685.78</v>
      </c>
      <c r="S61" s="2">
        <v>201212</v>
      </c>
      <c r="T61" s="16" t="s">
        <v>233</v>
      </c>
    </row>
    <row r="62" spans="1:20" x14ac:dyDescent="0.25">
      <c r="A62" s="9" t="s">
        <v>149</v>
      </c>
      <c r="B62" s="2" t="s">
        <v>46</v>
      </c>
      <c r="C62" s="3" t="s">
        <v>69</v>
      </c>
      <c r="D62" s="3"/>
      <c r="E62" s="4">
        <v>0</v>
      </c>
      <c r="F62" s="4">
        <v>0</v>
      </c>
      <c r="G62" s="4">
        <v>62.59</v>
      </c>
      <c r="H62" s="4">
        <v>135.47999999999999</v>
      </c>
      <c r="I62" s="4">
        <v>249.84</v>
      </c>
      <c r="J62" s="4">
        <v>138.29</v>
      </c>
      <c r="K62" s="4">
        <v>160.79</v>
      </c>
      <c r="L62" s="4">
        <v>203.08</v>
      </c>
      <c r="M62" s="4">
        <v>166.25</v>
      </c>
      <c r="N62" s="4">
        <v>67.069999999999993</v>
      </c>
      <c r="O62" s="4">
        <v>100.45</v>
      </c>
      <c r="P62" s="4">
        <v>100.96</v>
      </c>
      <c r="Q62" s="4">
        <v>168.33</v>
      </c>
      <c r="R62" s="4">
        <v>1553.13</v>
      </c>
      <c r="S62" s="2">
        <v>201212</v>
      </c>
      <c r="T62" s="16" t="s">
        <v>233</v>
      </c>
    </row>
    <row r="63" spans="1:20" x14ac:dyDescent="0.25">
      <c r="A63" s="9" t="s">
        <v>150</v>
      </c>
      <c r="B63" s="2" t="s">
        <v>220</v>
      </c>
      <c r="C63" s="3" t="s">
        <v>69</v>
      </c>
      <c r="D63" s="3"/>
      <c r="E63" s="4">
        <v>0</v>
      </c>
      <c r="F63" s="4">
        <v>1057.3900000000001</v>
      </c>
      <c r="G63" s="4">
        <v>848.29</v>
      </c>
      <c r="H63" s="4">
        <v>871.64</v>
      </c>
      <c r="I63" s="4">
        <v>781.3</v>
      </c>
      <c r="J63" s="4">
        <v>737.5</v>
      </c>
      <c r="K63" s="4">
        <v>862.02</v>
      </c>
      <c r="L63" s="4">
        <v>914.57</v>
      </c>
      <c r="M63" s="4">
        <v>966.18</v>
      </c>
      <c r="N63" s="4">
        <v>1062.48</v>
      </c>
      <c r="O63" s="4">
        <v>1100.28</v>
      </c>
      <c r="P63" s="4">
        <v>843.97</v>
      </c>
      <c r="Q63" s="4">
        <v>984.57</v>
      </c>
      <c r="R63" s="4">
        <v>11030.19</v>
      </c>
      <c r="S63" s="2">
        <v>201212</v>
      </c>
      <c r="T63" s="16" t="s">
        <v>233</v>
      </c>
    </row>
    <row r="64" spans="1:20" x14ac:dyDescent="0.25">
      <c r="A64" s="9" t="s">
        <v>151</v>
      </c>
      <c r="B64" s="2" t="s">
        <v>47</v>
      </c>
      <c r="C64" s="3" t="s">
        <v>69</v>
      </c>
      <c r="D64" s="3"/>
      <c r="E64" s="4">
        <v>0</v>
      </c>
      <c r="F64" s="4">
        <v>1546.93</v>
      </c>
      <c r="G64" s="4">
        <v>1925.15</v>
      </c>
      <c r="H64" s="4">
        <v>1595.7</v>
      </c>
      <c r="I64" s="4">
        <v>1697.53</v>
      </c>
      <c r="J64" s="4">
        <v>2458.2600000000002</v>
      </c>
      <c r="K64" s="4">
        <v>3913.83</v>
      </c>
      <c r="L64" s="4">
        <v>3386.71</v>
      </c>
      <c r="M64" s="4">
        <v>4141.45</v>
      </c>
      <c r="N64" s="4">
        <v>2877.56</v>
      </c>
      <c r="O64" s="4">
        <v>2631.97</v>
      </c>
      <c r="P64" s="4">
        <v>1739.46</v>
      </c>
      <c r="Q64" s="4">
        <v>1853.27</v>
      </c>
      <c r="R64" s="4">
        <v>29767.82</v>
      </c>
      <c r="S64" s="2">
        <v>201212</v>
      </c>
      <c r="T64" s="16" t="s">
        <v>233</v>
      </c>
    </row>
    <row r="65" spans="1:20" x14ac:dyDescent="0.25">
      <c r="A65" s="9" t="s">
        <v>152</v>
      </c>
      <c r="B65" s="2" t="s">
        <v>48</v>
      </c>
      <c r="C65" s="3" t="s">
        <v>69</v>
      </c>
      <c r="D65" s="3"/>
      <c r="E65" s="4">
        <v>0</v>
      </c>
      <c r="F65" s="4">
        <v>0</v>
      </c>
      <c r="G65" s="4">
        <v>3461.25</v>
      </c>
      <c r="H65" s="4">
        <v>2393</v>
      </c>
      <c r="I65" s="4">
        <v>2215.04</v>
      </c>
      <c r="J65" s="4">
        <v>1561.86</v>
      </c>
      <c r="K65" s="4">
        <v>1277.5999999999999</v>
      </c>
      <c r="L65" s="4">
        <v>1154.42</v>
      </c>
      <c r="M65" s="4">
        <v>1082.57</v>
      </c>
      <c r="N65" s="4">
        <v>1158.57</v>
      </c>
      <c r="O65" s="4">
        <v>1113.25</v>
      </c>
      <c r="P65" s="4">
        <v>1791.62</v>
      </c>
      <c r="Q65" s="4">
        <v>5819.44</v>
      </c>
      <c r="R65" s="4">
        <v>23028.62</v>
      </c>
      <c r="S65" s="2">
        <v>201212</v>
      </c>
      <c r="T65" s="16" t="s">
        <v>233</v>
      </c>
    </row>
    <row r="66" spans="1:20" x14ac:dyDescent="0.25">
      <c r="A66" s="9" t="s">
        <v>153</v>
      </c>
      <c r="B66" s="2" t="s">
        <v>49</v>
      </c>
      <c r="C66" s="3" t="s">
        <v>69</v>
      </c>
      <c r="D66" s="3"/>
      <c r="E66" s="4">
        <v>0</v>
      </c>
      <c r="F66" s="4">
        <v>6360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6360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12720</v>
      </c>
      <c r="S66" s="2">
        <v>201212</v>
      </c>
      <c r="T66" s="16" t="s">
        <v>233</v>
      </c>
    </row>
    <row r="67" spans="1:20" x14ac:dyDescent="0.25">
      <c r="A67" s="9" t="s">
        <v>154</v>
      </c>
      <c r="B67" s="2" t="s">
        <v>50</v>
      </c>
      <c r="C67" s="3" t="s">
        <v>69</v>
      </c>
      <c r="D67" s="3"/>
      <c r="E67" s="4">
        <v>0</v>
      </c>
      <c r="F67" s="4">
        <v>192.95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192.95</v>
      </c>
      <c r="S67" s="2">
        <v>201212</v>
      </c>
      <c r="T67" s="16" t="s">
        <v>233</v>
      </c>
    </row>
    <row r="68" spans="1:20" x14ac:dyDescent="0.25">
      <c r="A68" s="9" t="s">
        <v>155</v>
      </c>
      <c r="B68" s="2" t="s">
        <v>51</v>
      </c>
      <c r="C68" s="3" t="s">
        <v>69</v>
      </c>
      <c r="D68" s="3"/>
      <c r="E68" s="4">
        <v>0</v>
      </c>
      <c r="F68" s="4">
        <v>1100</v>
      </c>
      <c r="G68" s="4">
        <v>2082</v>
      </c>
      <c r="H68" s="4">
        <v>1960</v>
      </c>
      <c r="I68" s="4">
        <v>3924</v>
      </c>
      <c r="J68" s="4">
        <v>1885</v>
      </c>
      <c r="K68" s="4">
        <v>250</v>
      </c>
      <c r="L68" s="4">
        <v>1900</v>
      </c>
      <c r="M68" s="4">
        <v>2470</v>
      </c>
      <c r="N68" s="4">
        <v>2083.75</v>
      </c>
      <c r="O68" s="4">
        <v>1966</v>
      </c>
      <c r="P68" s="4">
        <v>2675.5</v>
      </c>
      <c r="Q68" s="4">
        <v>2050</v>
      </c>
      <c r="R68" s="4">
        <v>24346.25</v>
      </c>
      <c r="S68" s="2">
        <v>201212</v>
      </c>
      <c r="T68" s="16" t="s">
        <v>233</v>
      </c>
    </row>
    <row r="69" spans="1:20" x14ac:dyDescent="0.25">
      <c r="A69" s="9" t="s">
        <v>156</v>
      </c>
      <c r="B69" s="2" t="s">
        <v>52</v>
      </c>
      <c r="C69" s="3" t="s">
        <v>69</v>
      </c>
      <c r="D69" s="3"/>
      <c r="E69" s="4">
        <v>0</v>
      </c>
      <c r="F69" s="4">
        <v>0</v>
      </c>
      <c r="G69" s="4">
        <v>180</v>
      </c>
      <c r="H69" s="4">
        <v>180</v>
      </c>
      <c r="I69" s="4">
        <v>280</v>
      </c>
      <c r="J69" s="4">
        <v>180</v>
      </c>
      <c r="K69" s="4">
        <v>0</v>
      </c>
      <c r="L69" s="4">
        <v>180</v>
      </c>
      <c r="M69" s="4">
        <v>0</v>
      </c>
      <c r="N69" s="4">
        <v>180</v>
      </c>
      <c r="O69" s="4">
        <v>180</v>
      </c>
      <c r="P69" s="4">
        <v>180</v>
      </c>
      <c r="Q69" s="4">
        <v>260</v>
      </c>
      <c r="R69" s="4">
        <v>1800</v>
      </c>
      <c r="S69" s="2">
        <v>201212</v>
      </c>
      <c r="T69" s="16" t="s">
        <v>233</v>
      </c>
    </row>
    <row r="70" spans="1:20" x14ac:dyDescent="0.25">
      <c r="A70" s="9" t="s">
        <v>157</v>
      </c>
      <c r="B70" s="2" t="s">
        <v>53</v>
      </c>
      <c r="C70" s="3" t="s">
        <v>69</v>
      </c>
      <c r="D70" s="3"/>
      <c r="E70" s="4">
        <v>0</v>
      </c>
      <c r="F70" s="4">
        <v>0</v>
      </c>
      <c r="G70" s="4">
        <v>777.22</v>
      </c>
      <c r="H70" s="4">
        <v>806.02</v>
      </c>
      <c r="I70" s="4">
        <v>743.02</v>
      </c>
      <c r="J70" s="4">
        <v>851.77</v>
      </c>
      <c r="K70" s="4">
        <v>808.27</v>
      </c>
      <c r="L70" s="4">
        <v>786.52</v>
      </c>
      <c r="M70" s="4">
        <v>742</v>
      </c>
      <c r="N70" s="4">
        <v>969.5</v>
      </c>
      <c r="O70" s="4">
        <v>1012</v>
      </c>
      <c r="P70" s="4">
        <v>924.5</v>
      </c>
      <c r="Q70" s="4">
        <v>849.5</v>
      </c>
      <c r="R70" s="4">
        <v>9270.32</v>
      </c>
      <c r="S70" s="2">
        <v>201212</v>
      </c>
      <c r="T70" s="16" t="s">
        <v>233</v>
      </c>
    </row>
    <row r="71" spans="1:20" x14ac:dyDescent="0.25">
      <c r="A71" s="9" t="s">
        <v>158</v>
      </c>
      <c r="B71" s="2" t="s">
        <v>221</v>
      </c>
      <c r="C71" s="3" t="s">
        <v>69</v>
      </c>
      <c r="D71" s="3"/>
      <c r="E71" s="4">
        <v>0</v>
      </c>
      <c r="F71" s="4">
        <v>479.58</v>
      </c>
      <c r="G71" s="4">
        <v>464.79</v>
      </c>
      <c r="H71" s="4">
        <v>450</v>
      </c>
      <c r="I71" s="4">
        <v>0</v>
      </c>
      <c r="J71" s="4">
        <v>464.79</v>
      </c>
      <c r="K71" s="4">
        <v>900</v>
      </c>
      <c r="L71" s="4">
        <v>465</v>
      </c>
      <c r="M71" s="4">
        <v>0</v>
      </c>
      <c r="N71" s="4">
        <v>915</v>
      </c>
      <c r="O71" s="4">
        <v>0</v>
      </c>
      <c r="P71" s="4">
        <v>480</v>
      </c>
      <c r="Q71" s="4">
        <v>930</v>
      </c>
      <c r="R71" s="4">
        <v>5549.16</v>
      </c>
      <c r="S71" s="2">
        <v>201212</v>
      </c>
      <c r="T71" s="16" t="s">
        <v>233</v>
      </c>
    </row>
    <row r="72" spans="1:20" x14ac:dyDescent="0.25">
      <c r="A72" s="9" t="s">
        <v>159</v>
      </c>
      <c r="B72" s="2" t="s">
        <v>54</v>
      </c>
      <c r="C72" s="3" t="s">
        <v>69</v>
      </c>
      <c r="D72" s="3"/>
      <c r="E72" s="4">
        <v>0</v>
      </c>
      <c r="F72" s="4">
        <v>0</v>
      </c>
      <c r="G72" s="4">
        <v>0</v>
      </c>
      <c r="H72" s="4">
        <v>785</v>
      </c>
      <c r="I72" s="4">
        <v>1165.53</v>
      </c>
      <c r="J72" s="4">
        <v>852.01</v>
      </c>
      <c r="K72" s="4">
        <v>949.39</v>
      </c>
      <c r="L72" s="4">
        <v>1729.83</v>
      </c>
      <c r="M72" s="4">
        <v>1558.98</v>
      </c>
      <c r="N72" s="4">
        <v>768.32</v>
      </c>
      <c r="O72" s="4">
        <v>160.58000000000001</v>
      </c>
      <c r="P72" s="4">
        <v>2525</v>
      </c>
      <c r="Q72" s="4">
        <v>0</v>
      </c>
      <c r="R72" s="4">
        <v>10494.64</v>
      </c>
      <c r="S72" s="2">
        <v>201212</v>
      </c>
      <c r="T72" s="16" t="s">
        <v>233</v>
      </c>
    </row>
    <row r="73" spans="1:20" x14ac:dyDescent="0.25">
      <c r="A73" s="9" t="s">
        <v>160</v>
      </c>
      <c r="B73" s="2" t="s">
        <v>222</v>
      </c>
      <c r="C73" s="3" t="s">
        <v>69</v>
      </c>
      <c r="D73" s="3"/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138.75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138.75</v>
      </c>
      <c r="S73" s="2">
        <v>201212</v>
      </c>
      <c r="T73" s="16" t="s">
        <v>233</v>
      </c>
    </row>
    <row r="74" spans="1:20" x14ac:dyDescent="0.25">
      <c r="A74" s="9" t="s">
        <v>161</v>
      </c>
      <c r="B74" s="2" t="s">
        <v>223</v>
      </c>
      <c r="C74" s="3" t="s">
        <v>69</v>
      </c>
      <c r="D74" s="3"/>
      <c r="E74" s="4">
        <v>0</v>
      </c>
      <c r="F74" s="4">
        <v>3131.3</v>
      </c>
      <c r="G74" s="4">
        <v>4230.22</v>
      </c>
      <c r="H74" s="4">
        <v>3223.62</v>
      </c>
      <c r="I74" s="4">
        <v>4238.91</v>
      </c>
      <c r="J74" s="4">
        <v>3316.85</v>
      </c>
      <c r="K74" s="4">
        <v>2935.09</v>
      </c>
      <c r="L74" s="4">
        <v>5246.54</v>
      </c>
      <c r="M74" s="4">
        <v>4579.0600000000004</v>
      </c>
      <c r="N74" s="4">
        <v>2649.94</v>
      </c>
      <c r="O74" s="4">
        <v>1121.03</v>
      </c>
      <c r="P74" s="4">
        <v>2450.64</v>
      </c>
      <c r="Q74" s="4">
        <v>2696.07</v>
      </c>
      <c r="R74" s="4">
        <v>39819.269999999997</v>
      </c>
      <c r="S74" s="2">
        <v>201212</v>
      </c>
      <c r="T74" s="16" t="s">
        <v>233</v>
      </c>
    </row>
    <row r="75" spans="1:20" x14ac:dyDescent="0.25">
      <c r="A75" s="9" t="s">
        <v>162</v>
      </c>
      <c r="B75" s="2" t="s">
        <v>55</v>
      </c>
      <c r="C75" s="3" t="s">
        <v>69</v>
      </c>
      <c r="D75" s="3"/>
      <c r="E75" s="4">
        <v>0</v>
      </c>
      <c r="F75" s="4">
        <v>1328</v>
      </c>
      <c r="G75" s="4">
        <v>3002.5</v>
      </c>
      <c r="H75" s="4">
        <v>3500.5</v>
      </c>
      <c r="I75" s="4">
        <v>2678.5</v>
      </c>
      <c r="J75" s="4">
        <v>3547.75</v>
      </c>
      <c r="K75" s="4">
        <v>3431.75</v>
      </c>
      <c r="L75" s="4">
        <v>5390</v>
      </c>
      <c r="M75" s="4">
        <v>2424.25</v>
      </c>
      <c r="N75" s="4">
        <v>4438.8999999999996</v>
      </c>
      <c r="O75" s="4">
        <v>521.25</v>
      </c>
      <c r="P75" s="4">
        <v>3043.15</v>
      </c>
      <c r="Q75" s="4">
        <v>2425</v>
      </c>
      <c r="R75" s="4">
        <v>35731.550000000003</v>
      </c>
      <c r="S75" s="2">
        <v>201212</v>
      </c>
      <c r="T75" s="16" t="s">
        <v>233</v>
      </c>
    </row>
    <row r="76" spans="1:20" x14ac:dyDescent="0.25">
      <c r="A76" s="9" t="s">
        <v>163</v>
      </c>
      <c r="B76" s="2" t="s">
        <v>221</v>
      </c>
      <c r="C76" s="3" t="s">
        <v>69</v>
      </c>
      <c r="D76" s="3"/>
      <c r="E76" s="4">
        <v>0</v>
      </c>
      <c r="F76" s="4">
        <v>0</v>
      </c>
      <c r="G76" s="4">
        <v>0</v>
      </c>
      <c r="H76" s="4">
        <v>0</v>
      </c>
      <c r="I76" s="4">
        <v>450</v>
      </c>
      <c r="J76" s="4">
        <v>0</v>
      </c>
      <c r="K76" s="4">
        <v>-450</v>
      </c>
      <c r="L76" s="4">
        <v>0</v>
      </c>
      <c r="M76" s="4">
        <v>450</v>
      </c>
      <c r="N76" s="4">
        <v>-450</v>
      </c>
      <c r="O76" s="4">
        <v>465</v>
      </c>
      <c r="P76" s="4">
        <v>0</v>
      </c>
      <c r="Q76" s="4">
        <v>-465</v>
      </c>
      <c r="R76" s="4">
        <v>0</v>
      </c>
      <c r="S76" s="2">
        <v>201212</v>
      </c>
      <c r="T76" s="16" t="s">
        <v>233</v>
      </c>
    </row>
    <row r="77" spans="1:20" x14ac:dyDescent="0.25">
      <c r="A77" s="9" t="s">
        <v>164</v>
      </c>
      <c r="B77" s="2" t="s">
        <v>56</v>
      </c>
      <c r="C77" s="3" t="s">
        <v>69</v>
      </c>
      <c r="D77" s="3"/>
      <c r="E77" s="4">
        <v>0</v>
      </c>
      <c r="F77" s="4">
        <v>2678</v>
      </c>
      <c r="G77" s="4">
        <v>2678</v>
      </c>
      <c r="H77" s="4">
        <v>2879</v>
      </c>
      <c r="I77" s="4">
        <v>2812</v>
      </c>
      <c r="J77" s="4">
        <v>4128.8599999999997</v>
      </c>
      <c r="K77" s="4">
        <v>2812</v>
      </c>
      <c r="L77" s="4">
        <v>5820</v>
      </c>
      <c r="M77" s="4">
        <v>5978</v>
      </c>
      <c r="N77" s="4">
        <v>4861</v>
      </c>
      <c r="O77" s="4">
        <v>4135.28</v>
      </c>
      <c r="P77" s="4">
        <v>6536.4</v>
      </c>
      <c r="Q77" s="4">
        <v>5238</v>
      </c>
      <c r="R77" s="4">
        <v>50556.54</v>
      </c>
      <c r="S77" s="2">
        <v>201212</v>
      </c>
      <c r="T77" s="16" t="s">
        <v>233</v>
      </c>
    </row>
    <row r="78" spans="1:20" x14ac:dyDescent="0.25">
      <c r="A78" s="9" t="s">
        <v>165</v>
      </c>
      <c r="B78" s="2" t="s">
        <v>57</v>
      </c>
      <c r="C78" s="3" t="s">
        <v>69</v>
      </c>
      <c r="D78" s="3"/>
      <c r="E78" s="4">
        <v>0</v>
      </c>
      <c r="F78" s="4">
        <v>370</v>
      </c>
      <c r="G78" s="4">
        <v>1829.34</v>
      </c>
      <c r="H78" s="4">
        <v>400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65.5</v>
      </c>
      <c r="Q78" s="4">
        <v>3789.07</v>
      </c>
      <c r="R78" s="4">
        <v>6453.91</v>
      </c>
      <c r="S78" s="2">
        <v>201212</v>
      </c>
      <c r="T78" s="16" t="s">
        <v>233</v>
      </c>
    </row>
    <row r="79" spans="1:20" x14ac:dyDescent="0.25">
      <c r="A79" s="9" t="s">
        <v>166</v>
      </c>
      <c r="B79" s="2" t="s">
        <v>58</v>
      </c>
      <c r="C79" s="3" t="s">
        <v>69</v>
      </c>
      <c r="D79" s="3"/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2">
        <v>201212</v>
      </c>
      <c r="T79" s="16" t="s">
        <v>233</v>
      </c>
    </row>
    <row r="80" spans="1:20" x14ac:dyDescent="0.25">
      <c r="A80" s="9" t="s">
        <v>167</v>
      </c>
      <c r="B80" s="2" t="s">
        <v>42</v>
      </c>
      <c r="C80" s="3" t="s">
        <v>69</v>
      </c>
      <c r="D80" s="3"/>
      <c r="E80" s="4">
        <v>0</v>
      </c>
      <c r="F80" s="4">
        <v>315.58999999999997</v>
      </c>
      <c r="G80" s="4">
        <v>324.70999999999998</v>
      </c>
      <c r="H80" s="4">
        <v>322.75</v>
      </c>
      <c r="I80" s="4">
        <v>330.23</v>
      </c>
      <c r="J80" s="4">
        <v>493.87</v>
      </c>
      <c r="K80" s="4">
        <v>335.95</v>
      </c>
      <c r="L80" s="4">
        <v>328.77</v>
      </c>
      <c r="M80" s="4">
        <v>326.76</v>
      </c>
      <c r="N80" s="4">
        <v>312.93</v>
      </c>
      <c r="O80" s="4">
        <v>319.68</v>
      </c>
      <c r="P80" s="4">
        <v>419.93</v>
      </c>
      <c r="Q80" s="4">
        <v>337.97</v>
      </c>
      <c r="R80" s="4">
        <v>4169.1400000000003</v>
      </c>
      <c r="S80" s="2">
        <v>201212</v>
      </c>
      <c r="T80" s="16" t="s">
        <v>233</v>
      </c>
    </row>
    <row r="81" spans="1:20" x14ac:dyDescent="0.25">
      <c r="A81" s="9" t="s">
        <v>168</v>
      </c>
      <c r="B81" s="2" t="s">
        <v>224</v>
      </c>
      <c r="C81" s="3" t="s">
        <v>69</v>
      </c>
      <c r="D81" s="3"/>
      <c r="E81" s="4">
        <v>0</v>
      </c>
      <c r="F81" s="4">
        <v>18811.11</v>
      </c>
      <c r="G81" s="4">
        <v>-973.11</v>
      </c>
      <c r="H81" s="4">
        <v>0</v>
      </c>
      <c r="I81" s="4">
        <v>0</v>
      </c>
      <c r="J81" s="4">
        <v>-938.6</v>
      </c>
      <c r="K81" s="4">
        <v>865.2</v>
      </c>
      <c r="L81" s="4">
        <v>0</v>
      </c>
      <c r="M81" s="4">
        <v>-389.86</v>
      </c>
      <c r="N81" s="4">
        <v>0</v>
      </c>
      <c r="O81" s="4">
        <v>0</v>
      </c>
      <c r="P81" s="4">
        <v>0</v>
      </c>
      <c r="Q81" s="4">
        <v>-11154</v>
      </c>
      <c r="R81" s="4">
        <v>6220.74</v>
      </c>
      <c r="S81" s="2">
        <v>201212</v>
      </c>
      <c r="T81" s="16" t="s">
        <v>233</v>
      </c>
    </row>
    <row r="82" spans="1:20" x14ac:dyDescent="0.25">
      <c r="A82" s="9" t="s">
        <v>169</v>
      </c>
      <c r="B82" s="2" t="s">
        <v>59</v>
      </c>
      <c r="C82" s="3" t="s">
        <v>69</v>
      </c>
      <c r="D82" s="3"/>
      <c r="E82" s="4">
        <v>0</v>
      </c>
      <c r="F82" s="4">
        <v>1249.74</v>
      </c>
      <c r="G82" s="4">
        <v>1252.92</v>
      </c>
      <c r="H82" s="4">
        <v>1351.73</v>
      </c>
      <c r="I82" s="4">
        <v>1277.1400000000001</v>
      </c>
      <c r="J82" s="4">
        <v>1326.61</v>
      </c>
      <c r="K82" s="4">
        <v>1424.18</v>
      </c>
      <c r="L82" s="4">
        <v>1226.77</v>
      </c>
      <c r="M82" s="4">
        <v>1361.99</v>
      </c>
      <c r="N82" s="4">
        <v>1445.99</v>
      </c>
      <c r="O82" s="4">
        <v>1467.58</v>
      </c>
      <c r="P82" s="4">
        <v>850.01</v>
      </c>
      <c r="Q82" s="4">
        <v>1696.09</v>
      </c>
      <c r="R82" s="4">
        <v>15930.75</v>
      </c>
      <c r="S82" s="2">
        <v>201212</v>
      </c>
      <c r="T82" s="16" t="s">
        <v>233</v>
      </c>
    </row>
    <row r="83" spans="1:20" x14ac:dyDescent="0.25">
      <c r="A83" s="9" t="s">
        <v>170</v>
      </c>
      <c r="B83" s="2" t="s">
        <v>225</v>
      </c>
      <c r="C83" s="3" t="s">
        <v>69</v>
      </c>
      <c r="D83" s="3"/>
      <c r="E83" s="4">
        <v>0</v>
      </c>
      <c r="F83" s="4">
        <v>0</v>
      </c>
      <c r="G83" s="4">
        <v>0</v>
      </c>
      <c r="H83" s="4">
        <v>0</v>
      </c>
      <c r="I83" s="4">
        <v>531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402</v>
      </c>
      <c r="Q83" s="4">
        <v>78</v>
      </c>
      <c r="R83" s="4">
        <v>1011</v>
      </c>
      <c r="S83" s="2">
        <v>201212</v>
      </c>
      <c r="T83" s="16" t="s">
        <v>233</v>
      </c>
    </row>
    <row r="84" spans="1:20" x14ac:dyDescent="0.25">
      <c r="A84" s="9" t="s">
        <v>171</v>
      </c>
      <c r="B84" s="2" t="s">
        <v>60</v>
      </c>
      <c r="C84" s="3" t="s">
        <v>69</v>
      </c>
      <c r="D84" s="3"/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2">
        <v>201212</v>
      </c>
      <c r="T84" s="16" t="s">
        <v>233</v>
      </c>
    </row>
    <row r="85" spans="1:20" x14ac:dyDescent="0.25">
      <c r="A85" s="9" t="s">
        <v>172</v>
      </c>
      <c r="B85" s="2" t="s">
        <v>61</v>
      </c>
      <c r="C85" s="3" t="s">
        <v>69</v>
      </c>
      <c r="D85" s="3"/>
      <c r="E85" s="4">
        <v>0</v>
      </c>
      <c r="F85" s="4">
        <v>0</v>
      </c>
      <c r="G85" s="4">
        <v>11077.2</v>
      </c>
      <c r="H85" s="4">
        <v>0</v>
      </c>
      <c r="I85" s="4">
        <v>12868.02</v>
      </c>
      <c r="J85" s="4">
        <v>0</v>
      </c>
      <c r="K85" s="4">
        <v>0</v>
      </c>
      <c r="L85" s="4">
        <v>0</v>
      </c>
      <c r="M85" s="4">
        <v>3322</v>
      </c>
      <c r="N85" s="4">
        <v>0</v>
      </c>
      <c r="O85" s="4">
        <v>0</v>
      </c>
      <c r="P85" s="4">
        <v>0</v>
      </c>
      <c r="Q85" s="4">
        <v>13861.43</v>
      </c>
      <c r="R85" s="4">
        <v>41128.65</v>
      </c>
      <c r="S85" s="2">
        <v>201212</v>
      </c>
      <c r="T85" s="16" t="s">
        <v>233</v>
      </c>
    </row>
    <row r="86" spans="1:20" x14ac:dyDescent="0.25">
      <c r="A86" s="9" t="s">
        <v>173</v>
      </c>
      <c r="B86" s="2" t="s">
        <v>226</v>
      </c>
      <c r="C86" s="3" t="s">
        <v>69</v>
      </c>
      <c r="D86" s="3"/>
      <c r="E86" s="4">
        <v>0</v>
      </c>
      <c r="F86" s="4">
        <v>14401.38</v>
      </c>
      <c r="G86" s="4">
        <v>0</v>
      </c>
      <c r="H86" s="4">
        <v>11085.62</v>
      </c>
      <c r="I86" s="4">
        <v>3964.51</v>
      </c>
      <c r="J86" s="4">
        <v>3908.46</v>
      </c>
      <c r="K86" s="4">
        <v>3852.23</v>
      </c>
      <c r="L86" s="4">
        <v>3795.82</v>
      </c>
      <c r="M86" s="4">
        <v>3739.24</v>
      </c>
      <c r="N86" s="4">
        <v>3682.49</v>
      </c>
      <c r="O86" s="4">
        <v>3625.55</v>
      </c>
      <c r="P86" s="4">
        <v>3568.44</v>
      </c>
      <c r="Q86" s="4">
        <v>0</v>
      </c>
      <c r="R86" s="4">
        <v>55623.74</v>
      </c>
      <c r="S86" s="2">
        <v>201212</v>
      </c>
      <c r="T86" s="16" t="s">
        <v>233</v>
      </c>
    </row>
    <row r="87" spans="1:20" x14ac:dyDescent="0.25">
      <c r="A87" s="9" t="s">
        <v>174</v>
      </c>
      <c r="B87" s="2" t="s">
        <v>62</v>
      </c>
      <c r="C87" s="3" t="s">
        <v>69</v>
      </c>
      <c r="D87" s="3"/>
      <c r="E87" s="4">
        <v>0</v>
      </c>
      <c r="F87" s="4">
        <v>10500</v>
      </c>
      <c r="G87" s="4">
        <v>10500</v>
      </c>
      <c r="H87" s="4">
        <v>10500</v>
      </c>
      <c r="I87" s="4">
        <v>10500</v>
      </c>
      <c r="J87" s="4">
        <v>8400</v>
      </c>
      <c r="K87" s="4">
        <v>15026.04</v>
      </c>
      <c r="L87" s="4">
        <v>10900</v>
      </c>
      <c r="M87" s="4">
        <v>10900</v>
      </c>
      <c r="N87" s="4">
        <v>11437.53</v>
      </c>
      <c r="O87" s="4">
        <v>10962.62</v>
      </c>
      <c r="P87" s="4">
        <v>10962.62</v>
      </c>
      <c r="Q87" s="4">
        <v>11014.45</v>
      </c>
      <c r="R87" s="4">
        <v>131603.26</v>
      </c>
      <c r="S87" s="2">
        <v>201212</v>
      </c>
      <c r="T87" s="16" t="s">
        <v>233</v>
      </c>
    </row>
    <row r="88" spans="1:20" x14ac:dyDescent="0.25">
      <c r="A88" s="9" t="s">
        <v>175</v>
      </c>
      <c r="B88" s="2" t="s">
        <v>63</v>
      </c>
      <c r="C88" s="3" t="s">
        <v>69</v>
      </c>
      <c r="D88" s="3"/>
      <c r="E88" s="4">
        <v>0</v>
      </c>
      <c r="F88" s="4">
        <v>3000</v>
      </c>
      <c r="G88" s="4">
        <v>3000</v>
      </c>
      <c r="H88" s="4">
        <v>3000</v>
      </c>
      <c r="I88" s="4">
        <v>3000</v>
      </c>
      <c r="J88" s="4">
        <v>0</v>
      </c>
      <c r="K88" s="4">
        <v>3000</v>
      </c>
      <c r="L88" s="4">
        <v>3000</v>
      </c>
      <c r="M88" s="4">
        <v>3000</v>
      </c>
      <c r="N88" s="4">
        <v>3000</v>
      </c>
      <c r="O88" s="4">
        <v>3000</v>
      </c>
      <c r="P88" s="4">
        <v>3000</v>
      </c>
      <c r="Q88" s="4">
        <v>3000</v>
      </c>
      <c r="R88" s="4">
        <v>33000</v>
      </c>
      <c r="S88" s="2">
        <v>201212</v>
      </c>
      <c r="T88" s="16" t="s">
        <v>233</v>
      </c>
    </row>
    <row r="89" spans="1:20" x14ac:dyDescent="0.25">
      <c r="A89" s="9" t="s">
        <v>176</v>
      </c>
      <c r="B89" s="2" t="s">
        <v>227</v>
      </c>
      <c r="C89" s="3" t="s">
        <v>69</v>
      </c>
      <c r="D89" s="3"/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2">
        <v>201212</v>
      </c>
      <c r="T89" s="16" t="s">
        <v>233</v>
      </c>
    </row>
    <row r="90" spans="1:20" x14ac:dyDescent="0.25">
      <c r="A90" s="9" t="s">
        <v>177</v>
      </c>
      <c r="B90" s="2" t="s">
        <v>191</v>
      </c>
      <c r="C90" s="3" t="s">
        <v>69</v>
      </c>
      <c r="D90" s="3"/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2">
        <v>201212</v>
      </c>
      <c r="T90" s="16" t="s">
        <v>233</v>
      </c>
    </row>
    <row r="91" spans="1:20" x14ac:dyDescent="0.25">
      <c r="A91" s="9" t="s">
        <v>178</v>
      </c>
      <c r="B91" s="2" t="s">
        <v>25</v>
      </c>
      <c r="C91" s="3" t="s">
        <v>69</v>
      </c>
      <c r="D91" s="3"/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271.41000000000003</v>
      </c>
      <c r="R91" s="4">
        <v>271.41000000000003</v>
      </c>
      <c r="S91" s="2">
        <v>201212</v>
      </c>
      <c r="T91" s="16" t="s">
        <v>233</v>
      </c>
    </row>
    <row r="92" spans="1:20" x14ac:dyDescent="0.25">
      <c r="A92" s="9" t="s">
        <v>179</v>
      </c>
      <c r="B92" s="2" t="s">
        <v>228</v>
      </c>
      <c r="C92" s="3" t="s">
        <v>69</v>
      </c>
      <c r="D92" s="3"/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2">
        <v>201212</v>
      </c>
      <c r="T92" s="16" t="s">
        <v>233</v>
      </c>
    </row>
    <row r="93" spans="1:20" x14ac:dyDescent="0.25">
      <c r="A93" s="9" t="s">
        <v>180</v>
      </c>
      <c r="B93" s="2" t="s">
        <v>229</v>
      </c>
      <c r="C93" s="3" t="s">
        <v>69</v>
      </c>
      <c r="D93" s="3"/>
      <c r="E93" s="4">
        <v>0</v>
      </c>
      <c r="F93" s="4">
        <v>752</v>
      </c>
      <c r="G93" s="4">
        <v>1002</v>
      </c>
      <c r="H93" s="4">
        <v>0</v>
      </c>
      <c r="I93" s="4">
        <v>752</v>
      </c>
      <c r="J93" s="4">
        <v>0</v>
      </c>
      <c r="K93" s="4">
        <v>1847</v>
      </c>
      <c r="L93" s="4">
        <v>0</v>
      </c>
      <c r="M93" s="4">
        <v>3571</v>
      </c>
      <c r="N93" s="4">
        <v>0</v>
      </c>
      <c r="O93" s="4">
        <v>255</v>
      </c>
      <c r="P93" s="4">
        <v>752</v>
      </c>
      <c r="Q93" s="4">
        <v>0</v>
      </c>
      <c r="R93" s="4">
        <v>8931</v>
      </c>
      <c r="S93" s="2">
        <v>201212</v>
      </c>
      <c r="T93" s="16" t="s">
        <v>233</v>
      </c>
    </row>
    <row r="94" spans="1:20" x14ac:dyDescent="0.25">
      <c r="A94" s="9" t="s">
        <v>181</v>
      </c>
      <c r="B94" s="2" t="s">
        <v>64</v>
      </c>
      <c r="C94" s="3" t="s">
        <v>69</v>
      </c>
      <c r="D94" s="3"/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2">
        <v>201212</v>
      </c>
      <c r="T94" s="16" t="s">
        <v>233</v>
      </c>
    </row>
    <row r="95" spans="1:20" x14ac:dyDescent="0.25">
      <c r="A95" s="9" t="s">
        <v>182</v>
      </c>
      <c r="B95" s="2" t="s">
        <v>26</v>
      </c>
      <c r="C95" s="3" t="s">
        <v>69</v>
      </c>
      <c r="D95" s="3"/>
      <c r="E95" s="4">
        <v>0</v>
      </c>
      <c r="F95" s="4">
        <v>1462.27</v>
      </c>
      <c r="G95" s="4">
        <v>2123.1999999999998</v>
      </c>
      <c r="H95" s="4">
        <v>2264.13</v>
      </c>
      <c r="I95" s="4">
        <v>3434.62</v>
      </c>
      <c r="J95" s="4">
        <v>0</v>
      </c>
      <c r="K95" s="4">
        <v>2040.3</v>
      </c>
      <c r="L95" s="4">
        <v>1518.56</v>
      </c>
      <c r="M95" s="4">
        <v>3188.4</v>
      </c>
      <c r="N95" s="4">
        <v>963.23</v>
      </c>
      <c r="O95" s="4">
        <v>3324.24</v>
      </c>
      <c r="P95" s="4">
        <v>0</v>
      </c>
      <c r="Q95" s="4">
        <v>1184.08</v>
      </c>
      <c r="R95" s="4">
        <v>21503.03</v>
      </c>
      <c r="S95" s="2">
        <v>201212</v>
      </c>
      <c r="T95" s="16" t="s">
        <v>233</v>
      </c>
    </row>
    <row r="96" spans="1:20" x14ac:dyDescent="0.25">
      <c r="A96" s="9" t="s">
        <v>183</v>
      </c>
      <c r="B96" s="2" t="s">
        <v>65</v>
      </c>
      <c r="C96" s="3" t="s">
        <v>69</v>
      </c>
      <c r="D96" s="3"/>
      <c r="E96" s="4">
        <v>0</v>
      </c>
      <c r="F96" s="4">
        <v>0</v>
      </c>
      <c r="G96" s="4">
        <v>0</v>
      </c>
      <c r="H96" s="4">
        <v>10981.19</v>
      </c>
      <c r="I96" s="4">
        <v>10981.18</v>
      </c>
      <c r="J96" s="4">
        <v>0</v>
      </c>
      <c r="K96" s="4">
        <v>0</v>
      </c>
      <c r="L96" s="4">
        <v>910</v>
      </c>
      <c r="M96" s="4">
        <v>1350</v>
      </c>
      <c r="N96" s="4">
        <v>0</v>
      </c>
      <c r="O96" s="4">
        <v>0</v>
      </c>
      <c r="P96" s="4">
        <v>0</v>
      </c>
      <c r="Q96" s="4">
        <v>0</v>
      </c>
      <c r="R96" s="4">
        <v>24222.37</v>
      </c>
      <c r="S96" s="2">
        <v>201212</v>
      </c>
      <c r="T96" s="16" t="s">
        <v>233</v>
      </c>
    </row>
    <row r="97" spans="1:20" x14ac:dyDescent="0.25">
      <c r="A97" s="9" t="s">
        <v>184</v>
      </c>
      <c r="B97" s="2" t="s">
        <v>230</v>
      </c>
      <c r="C97" s="3" t="s">
        <v>69</v>
      </c>
      <c r="D97" s="3"/>
      <c r="E97" s="4">
        <v>0</v>
      </c>
      <c r="F97" s="4">
        <v>33314.620000000003</v>
      </c>
      <c r="G97" s="4">
        <v>16612.32</v>
      </c>
      <c r="H97" s="4">
        <v>17881.3</v>
      </c>
      <c r="I97" s="4">
        <v>17937.18</v>
      </c>
      <c r="J97" s="4">
        <v>0</v>
      </c>
      <c r="K97" s="4">
        <v>18049.46</v>
      </c>
      <c r="L97" s="4">
        <v>18105.87</v>
      </c>
      <c r="M97" s="4">
        <v>18162.45</v>
      </c>
      <c r="N97" s="4">
        <v>18219.2</v>
      </c>
      <c r="O97" s="4">
        <v>18276.14</v>
      </c>
      <c r="P97" s="4">
        <v>18333.25</v>
      </c>
      <c r="Q97" s="4">
        <v>0</v>
      </c>
      <c r="R97" s="4">
        <v>194891.79</v>
      </c>
      <c r="S97" s="2">
        <v>201212</v>
      </c>
      <c r="T97" s="16" t="s">
        <v>233</v>
      </c>
    </row>
    <row r="98" spans="1:20" x14ac:dyDescent="0.25">
      <c r="A98" s="9" t="s">
        <v>185</v>
      </c>
      <c r="B98" s="2" t="s">
        <v>231</v>
      </c>
      <c r="C98" s="3" t="s">
        <v>69</v>
      </c>
      <c r="D98" s="3"/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2">
        <v>201212</v>
      </c>
      <c r="T98" s="16" t="s">
        <v>233</v>
      </c>
    </row>
    <row r="99" spans="1:20" x14ac:dyDescent="0.25">
      <c r="A99" s="11" t="s">
        <v>186</v>
      </c>
      <c r="B99" s="12" t="s">
        <v>232</v>
      </c>
      <c r="C99" s="13" t="s">
        <v>69</v>
      </c>
      <c r="D99" s="13"/>
      <c r="E99" s="14">
        <v>0</v>
      </c>
      <c r="F99" s="14">
        <v>-38528.89</v>
      </c>
      <c r="G99" s="14">
        <v>-22737.52</v>
      </c>
      <c r="H99" s="14">
        <v>-34126.620000000003</v>
      </c>
      <c r="I99" s="14">
        <v>-36104.980000000003</v>
      </c>
      <c r="J99" s="14">
        <v>0</v>
      </c>
      <c r="K99" s="14">
        <v>-24936.76</v>
      </c>
      <c r="L99" s="14">
        <v>-23534.43</v>
      </c>
      <c r="M99" s="14">
        <v>-29271.85</v>
      </c>
      <c r="N99" s="14">
        <v>-22182.43</v>
      </c>
      <c r="O99" s="14">
        <v>-24855.38</v>
      </c>
      <c r="P99" s="14">
        <v>-22085.25</v>
      </c>
      <c r="Q99" s="14">
        <v>-4455.49</v>
      </c>
      <c r="R99" s="14">
        <v>-282819.59999999998</v>
      </c>
      <c r="S99" s="12">
        <v>201212</v>
      </c>
      <c r="T99" s="17" t="s">
        <v>233</v>
      </c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customSheetViews>
    <customSheetView guid="{D54A66AC-88E3-46FB-AFE3-2E559F565FEB}" state="hidden" topLeftCell="C63">
      <selection activeCell="F27" sqref="F2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8"/>
  <sheetViews>
    <sheetView zoomScale="80" zoomScaleNormal="80" workbookViewId="0">
      <pane xSplit="3" ySplit="4" topLeftCell="D5" activePane="bottomRight" state="frozen"/>
      <selection activeCell="A180" sqref="A180"/>
      <selection pane="topRight" activeCell="A180" sqref="A180"/>
      <selection pane="bottomLeft" activeCell="A180" sqref="A180"/>
      <selection pane="bottomRight" activeCell="I21" sqref="I21"/>
    </sheetView>
  </sheetViews>
  <sheetFormatPr defaultRowHeight="15" x14ac:dyDescent="0.25"/>
  <cols>
    <col min="1" max="1" width="55.28515625" bestFit="1" customWidth="1"/>
    <col min="2" max="2" width="9.140625" hidden="1" customWidth="1"/>
    <col min="3" max="3" width="11.140625" hidden="1" customWidth="1"/>
    <col min="4" max="4" width="17" customWidth="1"/>
    <col min="5" max="5" width="14.140625" customWidth="1"/>
    <col min="6" max="6" width="12.42578125" customWidth="1"/>
    <col min="7" max="7" width="5.85546875" customWidth="1"/>
    <col min="8" max="8" width="0" hidden="1" customWidth="1"/>
    <col min="9" max="9" width="26.28515625" customWidth="1"/>
    <col min="10" max="10" width="12.85546875" bestFit="1" customWidth="1"/>
    <col min="11" max="11" width="52.5703125" customWidth="1"/>
    <col min="12" max="13" width="9.140625" hidden="1" customWidth="1"/>
    <col min="14" max="15" width="0" hidden="1" customWidth="1"/>
  </cols>
  <sheetData>
    <row r="1" spans="1:16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'Canyon Gate'!I1</f>
        <v>Projected Annual Budget 2017</v>
      </c>
      <c r="J1" s="125"/>
      <c r="K1" s="108"/>
      <c r="L1" s="104"/>
      <c r="M1" s="104"/>
      <c r="N1" s="104"/>
      <c r="O1" s="104"/>
      <c r="P1" s="104"/>
    </row>
    <row r="2" spans="1:16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2"/>
      <c r="L2" s="104"/>
      <c r="M2" s="104"/>
      <c r="N2" s="104"/>
      <c r="O2" s="104"/>
      <c r="P2" s="104"/>
    </row>
    <row r="3" spans="1:16" ht="21" thickBot="1" x14ac:dyDescent="0.35">
      <c r="A3" s="99" t="s">
        <v>575</v>
      </c>
      <c r="B3" s="104"/>
      <c r="C3" s="104"/>
      <c r="D3" s="109"/>
      <c r="E3" s="104"/>
      <c r="F3" s="104"/>
      <c r="G3" s="104"/>
      <c r="H3" s="104"/>
      <c r="I3" s="110"/>
      <c r="J3" s="95"/>
      <c r="K3" s="102"/>
      <c r="L3" s="104"/>
      <c r="M3" s="104"/>
      <c r="N3" s="104"/>
      <c r="O3" s="104"/>
      <c r="P3" s="104"/>
    </row>
    <row r="4" spans="1:16" s="29" customFormat="1" ht="45.75" thickBot="1" x14ac:dyDescent="0.3">
      <c r="A4" s="39" t="s">
        <v>71</v>
      </c>
      <c r="B4" s="39" t="s">
        <v>72</v>
      </c>
      <c r="C4" s="39" t="s">
        <v>73</v>
      </c>
      <c r="D4" s="40" t="str">
        <f>'Canyon Gate'!D4</f>
        <v>2016 Annual Budget</v>
      </c>
      <c r="E4" s="40" t="str">
        <f>'Canyon Gate'!E4</f>
        <v>YTD Actual FY 2016 @ 9/30/16</v>
      </c>
      <c r="F4" s="40" t="str">
        <f>'Canyon Gate'!F4</f>
        <v>FY 2016 - 9 month Avg</v>
      </c>
      <c r="G4" s="126"/>
      <c r="H4" s="111"/>
      <c r="I4" s="127" t="s">
        <v>427</v>
      </c>
      <c r="J4" s="43" t="s">
        <v>428</v>
      </c>
      <c r="K4" s="133"/>
      <c r="L4" s="133"/>
      <c r="M4" s="168"/>
      <c r="N4" s="168"/>
      <c r="O4" s="168"/>
      <c r="P4" s="168"/>
    </row>
    <row r="5" spans="1:16" x14ac:dyDescent="0.25">
      <c r="A5" s="44" t="s">
        <v>416</v>
      </c>
      <c r="B5" s="44">
        <v>3</v>
      </c>
      <c r="C5" s="118">
        <v>-17093.006666666668</v>
      </c>
      <c r="D5" s="46">
        <v>64490</v>
      </c>
      <c r="E5" s="46">
        <v>49365</v>
      </c>
      <c r="F5" s="46">
        <f>E5/9</f>
        <v>5485</v>
      </c>
      <c r="G5" s="46"/>
      <c r="H5" s="134">
        <v>0</v>
      </c>
      <c r="I5" s="169">
        <f>83260-I6</f>
        <v>67300</v>
      </c>
      <c r="J5" s="170">
        <f>I5/12</f>
        <v>5608.333333333333</v>
      </c>
      <c r="K5" s="104"/>
      <c r="L5" s="104"/>
      <c r="M5" s="104"/>
      <c r="N5" s="104"/>
      <c r="O5" s="109" t="s">
        <v>74</v>
      </c>
      <c r="P5" s="104"/>
    </row>
    <row r="6" spans="1:16" x14ac:dyDescent="0.25">
      <c r="A6" s="44" t="s">
        <v>404</v>
      </c>
      <c r="B6" s="44">
        <v>3</v>
      </c>
      <c r="C6" s="118">
        <v>-42303.97</v>
      </c>
      <c r="D6" s="46">
        <v>14560</v>
      </c>
      <c r="E6" s="46">
        <v>11702</v>
      </c>
      <c r="F6" s="46">
        <f t="shared" ref="F6:F25" si="0">E6/9</f>
        <v>1300.2222222222222</v>
      </c>
      <c r="G6" s="46"/>
      <c r="H6" s="57">
        <v>0</v>
      </c>
      <c r="I6" s="57">
        <v>15960</v>
      </c>
      <c r="J6" s="58">
        <f>I6/12</f>
        <v>1330</v>
      </c>
      <c r="K6" s="104"/>
      <c r="L6" s="104"/>
      <c r="M6" s="104"/>
      <c r="N6" s="104"/>
      <c r="O6" s="104"/>
      <c r="P6" s="104"/>
    </row>
    <row r="7" spans="1:16" hidden="1" x14ac:dyDescent="0.25">
      <c r="A7" s="44" t="s">
        <v>227</v>
      </c>
      <c r="B7" s="44"/>
      <c r="C7" s="118"/>
      <c r="D7" s="46">
        <v>0</v>
      </c>
      <c r="E7" s="46">
        <v>0</v>
      </c>
      <c r="F7" s="46">
        <f t="shared" si="0"/>
        <v>0</v>
      </c>
      <c r="G7" s="46"/>
      <c r="H7" s="57">
        <v>0</v>
      </c>
      <c r="I7" s="57">
        <v>0</v>
      </c>
      <c r="J7" s="58">
        <f>I7/12</f>
        <v>0</v>
      </c>
      <c r="K7" s="175"/>
      <c r="L7" s="104"/>
      <c r="M7" s="104"/>
      <c r="N7" s="104"/>
      <c r="O7" s="109"/>
      <c r="P7" s="104"/>
    </row>
    <row r="8" spans="1:16" x14ac:dyDescent="0.25">
      <c r="A8" s="44" t="s">
        <v>394</v>
      </c>
      <c r="B8" s="44">
        <v>3</v>
      </c>
      <c r="C8" s="118">
        <v>-124398.38666666666</v>
      </c>
      <c r="D8" s="46">
        <v>43990</v>
      </c>
      <c r="E8" s="46">
        <v>32570</v>
      </c>
      <c r="F8" s="46">
        <f t="shared" si="0"/>
        <v>3618.8888888888887</v>
      </c>
      <c r="G8" s="46"/>
      <c r="H8" s="57">
        <v>0</v>
      </c>
      <c r="I8" s="57">
        <f>'Green Ridge'!I35</f>
        <v>44190</v>
      </c>
      <c r="J8" s="58">
        <f t="shared" ref="J8:J26" si="1">I8/12</f>
        <v>3682.5</v>
      </c>
      <c r="K8" s="104"/>
      <c r="L8" s="104"/>
      <c r="M8" s="104"/>
      <c r="N8" s="104"/>
      <c r="O8" s="104"/>
      <c r="P8" s="104"/>
    </row>
    <row r="9" spans="1:16" x14ac:dyDescent="0.25">
      <c r="A9" s="44" t="s">
        <v>395</v>
      </c>
      <c r="B9" s="44">
        <v>3</v>
      </c>
      <c r="C9" s="118">
        <v>-77940.933333333334</v>
      </c>
      <c r="D9" s="46">
        <v>28180</v>
      </c>
      <c r="E9" s="46">
        <v>20524</v>
      </c>
      <c r="F9" s="46">
        <f t="shared" si="0"/>
        <v>2280.4444444444443</v>
      </c>
      <c r="G9" s="46"/>
      <c r="H9" s="57">
        <v>0</v>
      </c>
      <c r="I9" s="57">
        <f>'Canyon Gate'!I32</f>
        <v>28050</v>
      </c>
      <c r="J9" s="58">
        <f t="shared" si="1"/>
        <v>2337.5</v>
      </c>
      <c r="K9" s="104"/>
      <c r="L9" s="104"/>
      <c r="M9" s="104"/>
      <c r="N9" s="104"/>
      <c r="O9" s="104"/>
      <c r="P9" s="104"/>
    </row>
    <row r="10" spans="1:16" x14ac:dyDescent="0.25">
      <c r="A10" s="44" t="s">
        <v>396</v>
      </c>
      <c r="B10" s="44">
        <v>3</v>
      </c>
      <c r="C10" s="118">
        <v>-13611.743333333332</v>
      </c>
      <c r="D10" s="46">
        <v>4990</v>
      </c>
      <c r="E10" s="46">
        <v>3934</v>
      </c>
      <c r="F10" s="46">
        <f t="shared" si="0"/>
        <v>437.11111111111109</v>
      </c>
      <c r="G10" s="46"/>
      <c r="H10" s="57">
        <v>0</v>
      </c>
      <c r="I10" s="57">
        <f>'Mtn View'!I28</f>
        <v>5250</v>
      </c>
      <c r="J10" s="58">
        <f t="shared" si="1"/>
        <v>437.5</v>
      </c>
      <c r="K10" s="104"/>
      <c r="L10" s="104"/>
      <c r="M10" s="104"/>
      <c r="N10" s="104"/>
      <c r="O10" s="152">
        <v>0.05</v>
      </c>
      <c r="P10" s="104"/>
    </row>
    <row r="11" spans="1:16" x14ac:dyDescent="0.25">
      <c r="A11" s="44" t="s">
        <v>397</v>
      </c>
      <c r="B11" s="44">
        <v>3</v>
      </c>
      <c r="C11" s="118">
        <v>-127847.69</v>
      </c>
      <c r="D11" s="46">
        <v>47910</v>
      </c>
      <c r="E11" s="46">
        <v>38127</v>
      </c>
      <c r="F11" s="46">
        <f t="shared" si="0"/>
        <v>4236.333333333333</v>
      </c>
      <c r="G11" s="46"/>
      <c r="H11" s="57">
        <v>0</v>
      </c>
      <c r="I11" s="57">
        <f>'Caesar Sq'!I37</f>
        <v>50720</v>
      </c>
      <c r="J11" s="58">
        <f t="shared" si="1"/>
        <v>4226.666666666667</v>
      </c>
      <c r="K11" s="96"/>
      <c r="L11" s="104"/>
      <c r="M11" s="104"/>
      <c r="N11" s="104"/>
      <c r="O11" s="109" t="s">
        <v>392</v>
      </c>
      <c r="P11" s="104"/>
    </row>
    <row r="12" spans="1:16" x14ac:dyDescent="0.25">
      <c r="A12" s="44" t="s">
        <v>398</v>
      </c>
      <c r="B12" s="44">
        <v>3</v>
      </c>
      <c r="C12" s="118">
        <v>-133682.31666666668</v>
      </c>
      <c r="D12" s="46">
        <v>52800</v>
      </c>
      <c r="E12" s="46">
        <v>39623</v>
      </c>
      <c r="F12" s="46">
        <f t="shared" si="0"/>
        <v>4402.5555555555557</v>
      </c>
      <c r="G12" s="46"/>
      <c r="H12" s="57">
        <v>0</v>
      </c>
      <c r="I12" s="57">
        <f>'Aspen Ridge'!I33</f>
        <v>60690</v>
      </c>
      <c r="J12" s="58">
        <f t="shared" si="1"/>
        <v>5057.5</v>
      </c>
      <c r="K12" s="104"/>
      <c r="L12" s="104"/>
      <c r="M12" s="104"/>
      <c r="N12" s="104"/>
      <c r="O12" s="152">
        <v>0.03</v>
      </c>
      <c r="P12" s="104"/>
    </row>
    <row r="13" spans="1:16" s="23" customFormat="1" x14ac:dyDescent="0.25">
      <c r="A13" s="176" t="s">
        <v>399</v>
      </c>
      <c r="B13" s="44">
        <v>3</v>
      </c>
      <c r="C13" s="118">
        <v>-133682.31666666668</v>
      </c>
      <c r="D13" s="46">
        <v>20590</v>
      </c>
      <c r="E13" s="46">
        <v>14990</v>
      </c>
      <c r="F13" s="46">
        <f t="shared" si="0"/>
        <v>1665.5555555555557</v>
      </c>
      <c r="G13" s="46"/>
      <c r="H13" s="57">
        <v>0</v>
      </c>
      <c r="I13" s="57">
        <f>'Redwood Village'!I34</f>
        <v>20060</v>
      </c>
      <c r="J13" s="58">
        <f t="shared" si="1"/>
        <v>1671.6666666666667</v>
      </c>
      <c r="K13" s="107"/>
      <c r="L13" s="107"/>
      <c r="M13" s="107"/>
      <c r="N13" s="107"/>
      <c r="O13" s="107"/>
      <c r="P13" s="107"/>
    </row>
    <row r="14" spans="1:16" x14ac:dyDescent="0.25">
      <c r="A14" s="44" t="s">
        <v>400</v>
      </c>
      <c r="B14" s="44">
        <v>3</v>
      </c>
      <c r="C14" s="118">
        <v>-65094.516666666663</v>
      </c>
      <c r="D14" s="46">
        <v>25170</v>
      </c>
      <c r="E14" s="46">
        <v>20485</v>
      </c>
      <c r="F14" s="46">
        <f t="shared" si="0"/>
        <v>2276.1111111111113</v>
      </c>
      <c r="G14" s="46"/>
      <c r="H14" s="57">
        <v>0</v>
      </c>
      <c r="I14" s="57">
        <f>'Viking Sq'!I32</f>
        <v>27320</v>
      </c>
      <c r="J14" s="58">
        <f t="shared" si="1"/>
        <v>2276.6666666666665</v>
      </c>
      <c r="K14" s="104"/>
      <c r="L14" s="104"/>
      <c r="M14" s="104"/>
      <c r="N14" s="104"/>
      <c r="O14" s="104"/>
      <c r="P14" s="104"/>
    </row>
    <row r="15" spans="1:16" x14ac:dyDescent="0.25">
      <c r="A15" s="44" t="s">
        <v>401</v>
      </c>
      <c r="B15" s="44">
        <v>3</v>
      </c>
      <c r="C15" s="118">
        <v>-20975.916666666664</v>
      </c>
      <c r="D15" s="46">
        <v>7530</v>
      </c>
      <c r="E15" s="46">
        <v>5956</v>
      </c>
      <c r="F15" s="46">
        <f t="shared" si="0"/>
        <v>661.77777777777783</v>
      </c>
      <c r="G15" s="46"/>
      <c r="H15" s="57">
        <v>0</v>
      </c>
      <c r="I15" s="57">
        <f>'Kendall Apts'!I27</f>
        <v>7880</v>
      </c>
      <c r="J15" s="58">
        <f t="shared" si="1"/>
        <v>656.66666666666663</v>
      </c>
      <c r="K15" s="104"/>
      <c r="L15" s="104"/>
      <c r="M15" s="104"/>
      <c r="N15" s="104"/>
      <c r="O15" s="104"/>
      <c r="P15" s="104"/>
    </row>
    <row r="16" spans="1:16" x14ac:dyDescent="0.25">
      <c r="A16" s="44" t="s">
        <v>402</v>
      </c>
      <c r="B16" s="44">
        <v>3</v>
      </c>
      <c r="C16" s="118">
        <v>-77106.263333333336</v>
      </c>
      <c r="D16" s="46">
        <v>57430</v>
      </c>
      <c r="E16" s="46">
        <v>43619</v>
      </c>
      <c r="F16" s="46">
        <f t="shared" si="0"/>
        <v>4846.5555555555557</v>
      </c>
      <c r="G16" s="46"/>
      <c r="H16" s="57">
        <v>0</v>
      </c>
      <c r="I16" s="57">
        <f>Glendale!I34</f>
        <v>59990</v>
      </c>
      <c r="J16" s="58">
        <f t="shared" si="1"/>
        <v>4999.166666666667</v>
      </c>
      <c r="K16" s="104"/>
      <c r="L16" s="104"/>
      <c r="M16" s="104"/>
      <c r="N16" s="104"/>
      <c r="O16" s="104"/>
      <c r="P16" s="104"/>
    </row>
    <row r="17" spans="1:16" x14ac:dyDescent="0.25">
      <c r="A17" s="44" t="s">
        <v>547</v>
      </c>
      <c r="B17" s="44"/>
      <c r="C17" s="118"/>
      <c r="D17" s="46">
        <v>2520</v>
      </c>
      <c r="E17" s="46">
        <v>1991</v>
      </c>
      <c r="F17" s="46">
        <f t="shared" si="0"/>
        <v>221.22222222222223</v>
      </c>
      <c r="G17" s="46"/>
      <c r="H17" s="57"/>
      <c r="I17" s="57">
        <f>Harlan!I32</f>
        <v>2640</v>
      </c>
      <c r="J17" s="58">
        <f t="shared" si="1"/>
        <v>220</v>
      </c>
      <c r="K17" s="104"/>
      <c r="L17" s="104"/>
      <c r="M17" s="104"/>
      <c r="N17" s="104"/>
      <c r="O17" s="104"/>
      <c r="P17" s="104"/>
    </row>
    <row r="18" spans="1:16" x14ac:dyDescent="0.25">
      <c r="A18" s="44" t="s">
        <v>512</v>
      </c>
      <c r="B18" s="44"/>
      <c r="C18" s="118"/>
      <c r="D18" s="46">
        <v>2900</v>
      </c>
      <c r="E18" s="46">
        <v>0</v>
      </c>
      <c r="F18" s="46">
        <f t="shared" si="0"/>
        <v>0</v>
      </c>
      <c r="G18" s="46"/>
      <c r="H18" s="57"/>
      <c r="I18" s="57">
        <v>0</v>
      </c>
      <c r="J18" s="58">
        <f t="shared" si="1"/>
        <v>0</v>
      </c>
      <c r="K18" s="104"/>
      <c r="L18" s="104"/>
      <c r="M18" s="104"/>
      <c r="N18" s="104"/>
      <c r="O18" s="104"/>
      <c r="P18" s="104"/>
    </row>
    <row r="19" spans="1:16" x14ac:dyDescent="0.25">
      <c r="A19" s="44" t="s">
        <v>403</v>
      </c>
      <c r="B19" s="44">
        <v>3</v>
      </c>
      <c r="C19" s="118">
        <v>-21061.533333333333</v>
      </c>
      <c r="D19" s="46">
        <v>25080</v>
      </c>
      <c r="E19" s="46">
        <v>18299</v>
      </c>
      <c r="F19" s="46">
        <f t="shared" si="0"/>
        <v>2033.2222222222222</v>
      </c>
      <c r="G19" s="46"/>
      <c r="H19" s="57">
        <v>0</v>
      </c>
      <c r="I19" s="57">
        <f>'Lewis Ct'!I33</f>
        <v>24650</v>
      </c>
      <c r="J19" s="58">
        <f t="shared" si="1"/>
        <v>2054.1666666666665</v>
      </c>
      <c r="K19" s="104"/>
      <c r="L19" s="104"/>
      <c r="M19" s="104"/>
      <c r="N19" s="104"/>
      <c r="O19" s="104"/>
      <c r="P19" s="104"/>
    </row>
    <row r="20" spans="1:16" x14ac:dyDescent="0.25">
      <c r="A20" s="44" t="s">
        <v>438</v>
      </c>
      <c r="B20" s="44"/>
      <c r="C20" s="118"/>
      <c r="D20" s="46">
        <v>23400</v>
      </c>
      <c r="E20" s="46">
        <v>13934</v>
      </c>
      <c r="F20" s="46">
        <f t="shared" si="0"/>
        <v>1548.2222222222222</v>
      </c>
      <c r="G20" s="46"/>
      <c r="H20" s="57">
        <v>0</v>
      </c>
      <c r="I20" s="57">
        <f>'Lewis Ct'!I85</f>
        <v>15850</v>
      </c>
      <c r="J20" s="58">
        <f t="shared" si="1"/>
        <v>1320.8333333333333</v>
      </c>
      <c r="K20" s="177" t="s">
        <v>439</v>
      </c>
      <c r="L20" s="104"/>
      <c r="M20" s="104"/>
      <c r="N20" s="104"/>
      <c r="O20" s="104"/>
      <c r="P20" s="104"/>
    </row>
    <row r="21" spans="1:16" x14ac:dyDescent="0.25">
      <c r="A21" s="44" t="s">
        <v>445</v>
      </c>
      <c r="B21" s="44"/>
      <c r="C21" s="118"/>
      <c r="D21" s="46">
        <v>63068</v>
      </c>
      <c r="E21" s="46">
        <v>46090</v>
      </c>
      <c r="F21" s="46">
        <f t="shared" si="0"/>
        <v>5121.1111111111113</v>
      </c>
      <c r="G21" s="46"/>
      <c r="H21" s="57"/>
      <c r="I21" s="57">
        <f>'[1]Lewis Ct CF'!E99</f>
        <v>115859</v>
      </c>
      <c r="J21" s="58">
        <f t="shared" si="1"/>
        <v>9654.9166666666661</v>
      </c>
      <c r="K21" s="177" t="s">
        <v>448</v>
      </c>
      <c r="L21" s="104"/>
      <c r="M21" s="104"/>
      <c r="N21" s="104"/>
      <c r="O21" s="104"/>
      <c r="P21" s="104"/>
    </row>
    <row r="22" spans="1:16" x14ac:dyDescent="0.25">
      <c r="A22" s="44" t="s">
        <v>417</v>
      </c>
      <c r="B22" s="44">
        <v>3</v>
      </c>
      <c r="C22" s="118">
        <v>-64533.333333333328</v>
      </c>
      <c r="D22" s="46">
        <v>32782</v>
      </c>
      <c r="E22" s="46">
        <v>32782</v>
      </c>
      <c r="F22" s="46">
        <f t="shared" si="0"/>
        <v>3642.4444444444443</v>
      </c>
      <c r="G22" s="46"/>
      <c r="H22" s="57">
        <v>0</v>
      </c>
      <c r="I22" s="57">
        <f>'Lewis Ct'!I35</f>
        <v>34770</v>
      </c>
      <c r="J22" s="58">
        <f t="shared" si="1"/>
        <v>2897.5</v>
      </c>
      <c r="K22" s="104"/>
      <c r="L22" s="104"/>
      <c r="M22" s="104"/>
      <c r="N22" s="104"/>
      <c r="O22" s="104"/>
      <c r="P22" s="104"/>
    </row>
    <row r="23" spans="1:16" x14ac:dyDescent="0.25">
      <c r="A23" s="44" t="s">
        <v>442</v>
      </c>
      <c r="B23" s="44"/>
      <c r="C23" s="118"/>
      <c r="D23" s="46">
        <v>15420</v>
      </c>
      <c r="E23" s="46">
        <v>7250</v>
      </c>
      <c r="F23" s="46">
        <f t="shared" si="0"/>
        <v>805.55555555555554</v>
      </c>
      <c r="G23" s="46"/>
      <c r="H23" s="57">
        <v>0</v>
      </c>
      <c r="I23" s="57">
        <v>9960</v>
      </c>
      <c r="J23" s="58">
        <f t="shared" si="1"/>
        <v>830</v>
      </c>
      <c r="K23" s="104"/>
      <c r="L23" s="104"/>
      <c r="M23" s="104">
        <f t="shared" ref="M23:M26" si="2">SUM((E23+(F23*3))*1.03)</f>
        <v>9956.6666666666661</v>
      </c>
      <c r="N23" s="104"/>
      <c r="O23" s="104"/>
      <c r="P23" s="104"/>
    </row>
    <row r="24" spans="1:16" x14ac:dyDescent="0.25">
      <c r="A24" s="44" t="s">
        <v>648</v>
      </c>
      <c r="B24" s="44"/>
      <c r="C24" s="118"/>
      <c r="D24" s="46">
        <v>0</v>
      </c>
      <c r="E24" s="46">
        <v>0</v>
      </c>
      <c r="F24" s="46">
        <f t="shared" si="0"/>
        <v>0</v>
      </c>
      <c r="G24" s="46"/>
      <c r="H24" s="57"/>
      <c r="I24" s="57">
        <v>30000</v>
      </c>
      <c r="J24" s="58">
        <f t="shared" si="1"/>
        <v>2500</v>
      </c>
      <c r="K24" s="177" t="s">
        <v>448</v>
      </c>
      <c r="L24" s="104"/>
      <c r="M24" s="104"/>
      <c r="N24" s="104"/>
      <c r="O24" s="104"/>
      <c r="P24" s="104"/>
    </row>
    <row r="25" spans="1:16" x14ac:dyDescent="0.25">
      <c r="A25" s="44" t="s">
        <v>35</v>
      </c>
      <c r="B25" s="44"/>
      <c r="C25" s="118"/>
      <c r="D25" s="46">
        <v>2500</v>
      </c>
      <c r="E25" s="46">
        <v>61</v>
      </c>
      <c r="F25" s="46">
        <f t="shared" si="0"/>
        <v>6.7777777777777777</v>
      </c>
      <c r="G25" s="46"/>
      <c r="H25" s="57">
        <v>0</v>
      </c>
      <c r="I25" s="57">
        <v>2500</v>
      </c>
      <c r="J25" s="58">
        <f t="shared" si="1"/>
        <v>208.33333333333334</v>
      </c>
      <c r="K25" s="104"/>
      <c r="L25" s="104"/>
      <c r="M25" s="104"/>
      <c r="N25" s="104"/>
      <c r="O25" s="104"/>
      <c r="P25" s="104"/>
    </row>
    <row r="26" spans="1:16" x14ac:dyDescent="0.25">
      <c r="A26" s="44" t="s">
        <v>284</v>
      </c>
      <c r="B26" s="44">
        <v>3</v>
      </c>
      <c r="C26" s="119">
        <f>-8292+2029</f>
        <v>-6263</v>
      </c>
      <c r="D26" s="53">
        <v>38080</v>
      </c>
      <c r="E26" s="53">
        <v>31665</v>
      </c>
      <c r="F26" s="53">
        <f>E26/9</f>
        <v>3518.3333333333335</v>
      </c>
      <c r="G26" s="52"/>
      <c r="H26" s="137">
        <v>0</v>
      </c>
      <c r="I26" s="138">
        <v>43490</v>
      </c>
      <c r="J26" s="139">
        <f t="shared" si="1"/>
        <v>3624.1666666666665</v>
      </c>
      <c r="K26" s="238" t="s">
        <v>510</v>
      </c>
      <c r="L26" s="104"/>
      <c r="M26" s="104">
        <f t="shared" si="2"/>
        <v>43486.6</v>
      </c>
      <c r="N26" s="104"/>
      <c r="O26" s="104"/>
      <c r="P26" s="104"/>
    </row>
    <row r="27" spans="1:16" x14ac:dyDescent="0.25">
      <c r="A27" s="75" t="s">
        <v>75</v>
      </c>
      <c r="B27" s="44"/>
      <c r="C27" s="45">
        <f t="shared" ref="C27:J27" si="3">SUM(C5:C26)</f>
        <v>-925594.92666666675</v>
      </c>
      <c r="D27" s="46">
        <f t="shared" si="3"/>
        <v>573390</v>
      </c>
      <c r="E27" s="46">
        <f t="shared" si="3"/>
        <v>432967</v>
      </c>
      <c r="F27" s="46">
        <f>SUM(F5:F26)</f>
        <v>48107.444444444438</v>
      </c>
      <c r="G27" s="46"/>
      <c r="H27" s="57">
        <f t="shared" si="3"/>
        <v>0</v>
      </c>
      <c r="I27" s="57">
        <f t="shared" si="3"/>
        <v>667129</v>
      </c>
      <c r="J27" s="58">
        <f t="shared" si="3"/>
        <v>55594.083333333336</v>
      </c>
      <c r="K27" s="104"/>
      <c r="L27" s="104"/>
      <c r="M27" s="104"/>
      <c r="N27" s="104"/>
      <c r="O27" s="104"/>
      <c r="P27" s="104"/>
    </row>
    <row r="28" spans="1:16" x14ac:dyDescent="0.25">
      <c r="A28" s="75"/>
      <c r="B28" s="44"/>
      <c r="C28" s="45"/>
      <c r="D28" s="45"/>
      <c r="E28" s="45"/>
      <c r="F28" s="45"/>
      <c r="G28" s="45"/>
      <c r="H28" s="115"/>
      <c r="I28" s="115"/>
      <c r="J28" s="116"/>
      <c r="K28" s="104"/>
      <c r="L28" s="104"/>
      <c r="M28" s="104"/>
      <c r="N28" s="104"/>
      <c r="O28" s="104"/>
      <c r="P28" s="104"/>
    </row>
    <row r="29" spans="1:16" x14ac:dyDescent="0.25">
      <c r="A29" s="44" t="s">
        <v>76</v>
      </c>
      <c r="B29" s="44"/>
      <c r="C29" s="45">
        <f>C57</f>
        <v>1083132.7633333332</v>
      </c>
      <c r="D29" s="46">
        <f>-D57</f>
        <v>-339620</v>
      </c>
      <c r="E29" s="46">
        <f>-E57</f>
        <v>-320365</v>
      </c>
      <c r="F29" s="46">
        <f>E29/9</f>
        <v>-35596.111111111109</v>
      </c>
      <c r="G29" s="46"/>
      <c r="H29" s="57">
        <f>H57</f>
        <v>10188.6</v>
      </c>
      <c r="I29" s="57">
        <f>-I57</f>
        <v>-384070</v>
      </c>
      <c r="J29" s="58">
        <f>-J57</f>
        <v>-32005.833333333339</v>
      </c>
      <c r="K29" s="104"/>
      <c r="L29" s="104"/>
      <c r="M29" s="104"/>
      <c r="N29" s="104"/>
      <c r="O29" s="104"/>
      <c r="P29" s="104"/>
    </row>
    <row r="30" spans="1:16" x14ac:dyDescent="0.25">
      <c r="A30" s="44" t="s">
        <v>83</v>
      </c>
      <c r="B30" s="44"/>
      <c r="C30" s="45">
        <f>C64</f>
        <v>32131.759999999998</v>
      </c>
      <c r="D30" s="46">
        <f>-D64</f>
        <v>-9870</v>
      </c>
      <c r="E30" s="46">
        <f>-E64</f>
        <v>-6953</v>
      </c>
      <c r="F30" s="46">
        <f t="shared" ref="F30:F32" si="4">E30/9</f>
        <v>-772.55555555555554</v>
      </c>
      <c r="G30" s="46"/>
      <c r="H30" s="57">
        <f>H64</f>
        <v>0</v>
      </c>
      <c r="I30" s="57">
        <f>-I64</f>
        <v>-9700</v>
      </c>
      <c r="J30" s="58">
        <f>-J64</f>
        <v>-808.33333333333337</v>
      </c>
      <c r="K30" s="101"/>
      <c r="L30" s="104"/>
      <c r="M30" s="104"/>
      <c r="N30" s="104"/>
      <c r="O30" s="104"/>
      <c r="P30" s="104"/>
    </row>
    <row r="31" spans="1:16" x14ac:dyDescent="0.25">
      <c r="A31" s="44" t="s">
        <v>88</v>
      </c>
      <c r="B31" s="44"/>
      <c r="C31" s="45">
        <f>C78</f>
        <v>64573.179999999993</v>
      </c>
      <c r="D31" s="46">
        <f>-D78</f>
        <v>-22570</v>
      </c>
      <c r="E31" s="46">
        <f>-E78</f>
        <v>-28632</v>
      </c>
      <c r="F31" s="46">
        <f t="shared" si="4"/>
        <v>-3181.3333333333335</v>
      </c>
      <c r="G31" s="46"/>
      <c r="H31" s="173">
        <f>H78</f>
        <v>677.1</v>
      </c>
      <c r="I31" s="57">
        <f>-I78</f>
        <v>-40180</v>
      </c>
      <c r="J31" s="58">
        <f>-J78</f>
        <v>-3348.3333333333335</v>
      </c>
      <c r="K31" s="104"/>
      <c r="L31" s="104"/>
      <c r="M31" s="104"/>
      <c r="N31" s="104"/>
      <c r="O31" s="104"/>
      <c r="P31" s="104"/>
    </row>
    <row r="32" spans="1:16" x14ac:dyDescent="0.25">
      <c r="A32" s="44" t="s">
        <v>77</v>
      </c>
      <c r="B32" s="44"/>
      <c r="C32" s="45">
        <f>C89</f>
        <v>534982.31666666665</v>
      </c>
      <c r="D32" s="46">
        <f>-D89</f>
        <v>-186590</v>
      </c>
      <c r="E32" s="46">
        <f>-E89</f>
        <v>-189536</v>
      </c>
      <c r="F32" s="46">
        <f t="shared" si="4"/>
        <v>-21059.555555555555</v>
      </c>
      <c r="G32" s="46"/>
      <c r="H32" s="57">
        <f>H89</f>
        <v>151692450.19000006</v>
      </c>
      <c r="I32" s="57">
        <f>-I89</f>
        <v>-188065</v>
      </c>
      <c r="J32" s="58">
        <f>-J89</f>
        <v>-15672.083333333334</v>
      </c>
      <c r="K32" s="101"/>
      <c r="L32" s="104"/>
      <c r="M32" s="104"/>
      <c r="N32" s="104"/>
      <c r="O32" s="104"/>
      <c r="P32" s="104"/>
    </row>
    <row r="33" spans="1:16" x14ac:dyDescent="0.25">
      <c r="A33" s="44" t="s">
        <v>79</v>
      </c>
      <c r="B33" s="44"/>
      <c r="C33" s="52">
        <f t="shared" ref="C33:H33" si="5">C97</f>
        <v>9874.5</v>
      </c>
      <c r="D33" s="53">
        <f>-D97</f>
        <v>-27000</v>
      </c>
      <c r="E33" s="53">
        <f>-E97</f>
        <v>-2600</v>
      </c>
      <c r="F33" s="53">
        <f>E33/9</f>
        <v>-288.88888888888891</v>
      </c>
      <c r="G33" s="53"/>
      <c r="H33" s="137">
        <f t="shared" si="5"/>
        <v>0</v>
      </c>
      <c r="I33" s="137">
        <f>-I97</f>
        <v>-14300</v>
      </c>
      <c r="J33" s="139">
        <f>-J97</f>
        <v>-1191.6666666666667</v>
      </c>
      <c r="K33" s="106"/>
      <c r="L33" s="104"/>
      <c r="M33" s="104"/>
      <c r="N33" s="104"/>
      <c r="O33" s="104"/>
      <c r="P33" s="104"/>
    </row>
    <row r="34" spans="1:16" x14ac:dyDescent="0.25">
      <c r="A34" s="44" t="s">
        <v>80</v>
      </c>
      <c r="B34" s="44"/>
      <c r="C34" s="140">
        <f t="shared" ref="C34:J34" si="6">SUM(C29:C33)</f>
        <v>1724694.5199999998</v>
      </c>
      <c r="D34" s="141">
        <f t="shared" si="6"/>
        <v>-585650</v>
      </c>
      <c r="E34" s="141">
        <f t="shared" si="6"/>
        <v>-548086</v>
      </c>
      <c r="F34" s="141">
        <f t="shared" si="6"/>
        <v>-60898.444444444445</v>
      </c>
      <c r="G34" s="53"/>
      <c r="H34" s="137">
        <f t="shared" si="6"/>
        <v>151703315.89000005</v>
      </c>
      <c r="I34" s="163">
        <f t="shared" si="6"/>
        <v>-636315</v>
      </c>
      <c r="J34" s="164">
        <f t="shared" si="6"/>
        <v>-53026.250000000007</v>
      </c>
      <c r="K34" s="106"/>
      <c r="L34" s="104"/>
      <c r="M34" s="104"/>
      <c r="N34" s="104"/>
      <c r="O34" s="104"/>
      <c r="P34" s="104"/>
    </row>
    <row r="35" spans="1:16" ht="15.75" thickBot="1" x14ac:dyDescent="0.3">
      <c r="A35" s="44"/>
      <c r="B35" s="44"/>
      <c r="C35" s="45"/>
      <c r="D35" s="45"/>
      <c r="E35" s="45"/>
      <c r="F35" s="45"/>
      <c r="G35" s="45"/>
      <c r="H35" s="115"/>
      <c r="I35" s="115"/>
      <c r="J35" s="116"/>
      <c r="K35" s="106"/>
      <c r="L35" s="104"/>
      <c r="M35" s="104"/>
      <c r="N35" s="104"/>
      <c r="O35" s="104"/>
      <c r="P35" s="104"/>
    </row>
    <row r="36" spans="1:16" ht="15.75" thickBot="1" x14ac:dyDescent="0.3">
      <c r="A36" s="260" t="s">
        <v>550</v>
      </c>
      <c r="B36" s="122"/>
      <c r="C36" s="123">
        <f>SUM(-C26-C34)</f>
        <v>-1718431.5199999998</v>
      </c>
      <c r="D36" s="72">
        <f>SUM(D27+D34)+D88</f>
        <v>33580</v>
      </c>
      <c r="E36" s="72">
        <f t="shared" ref="E36:F36" si="7">SUM(E27+E34)+E88</f>
        <v>-80540</v>
      </c>
      <c r="F36" s="72">
        <f t="shared" si="7"/>
        <v>-8948.888888888896</v>
      </c>
      <c r="G36" s="72"/>
      <c r="H36" s="73">
        <f>SUM(-H26-H34)</f>
        <v>-151703315.89000005</v>
      </c>
      <c r="I36" s="73">
        <f>SUM(I27+I34)+I88</f>
        <v>76919</v>
      </c>
      <c r="J36" s="74">
        <f>SUM(J27+J34)+J88</f>
        <v>6409.9166666666624</v>
      </c>
      <c r="K36" s="106"/>
      <c r="L36" s="104"/>
      <c r="M36" s="104"/>
      <c r="N36" s="104"/>
      <c r="O36" s="104"/>
      <c r="P36" s="104"/>
    </row>
    <row r="37" spans="1:16" x14ac:dyDescent="0.25">
      <c r="A37" s="75" t="s">
        <v>449</v>
      </c>
      <c r="B37" s="44"/>
      <c r="C37" s="45"/>
      <c r="D37" s="45"/>
      <c r="E37" s="45"/>
      <c r="F37" s="45"/>
      <c r="G37" s="45"/>
      <c r="H37" s="115"/>
      <c r="I37" s="115"/>
      <c r="J37" s="116"/>
      <c r="K37" s="104"/>
      <c r="L37" s="104"/>
      <c r="M37" s="104"/>
      <c r="N37" s="104"/>
      <c r="O37" s="104"/>
      <c r="P37" s="104"/>
    </row>
    <row r="38" spans="1:16" x14ac:dyDescent="0.25">
      <c r="A38" s="44" t="s">
        <v>38</v>
      </c>
      <c r="B38" s="44">
        <v>3</v>
      </c>
      <c r="C38" s="118">
        <v>1704.6</v>
      </c>
      <c r="D38" s="45">
        <v>80</v>
      </c>
      <c r="E38" s="45">
        <v>0</v>
      </c>
      <c r="F38" s="45">
        <f>E38/9</f>
        <v>0</v>
      </c>
      <c r="G38" s="45"/>
      <c r="H38" s="115">
        <f t="shared" ref="H38:H56" si="8">D38*$O$12</f>
        <v>2.4</v>
      </c>
      <c r="I38" s="115">
        <v>80</v>
      </c>
      <c r="J38" s="116">
        <f t="shared" ref="J38:J56" si="9">I38/12</f>
        <v>6.666666666666667</v>
      </c>
      <c r="K38" s="242"/>
      <c r="M38" s="104"/>
      <c r="N38" s="104"/>
      <c r="O38" s="104"/>
      <c r="P38" s="104"/>
    </row>
    <row r="39" spans="1:16" x14ac:dyDescent="0.25">
      <c r="A39" s="44" t="s">
        <v>39</v>
      </c>
      <c r="B39" s="44">
        <v>3</v>
      </c>
      <c r="C39" s="118">
        <f>645728.44+108321</f>
        <v>754049.44</v>
      </c>
      <c r="D39" s="45">
        <v>230890</v>
      </c>
      <c r="E39" s="45">
        <v>204488</v>
      </c>
      <c r="F39" s="45">
        <f t="shared" ref="F39:F55" si="10">E39/9</f>
        <v>22720.888888888891</v>
      </c>
      <c r="G39" s="45"/>
      <c r="H39" s="115">
        <f t="shared" si="8"/>
        <v>6926.7</v>
      </c>
      <c r="I39" s="115">
        <f>274700-36000</f>
        <v>238700</v>
      </c>
      <c r="J39" s="116">
        <f t="shared" si="9"/>
        <v>19891.666666666668</v>
      </c>
      <c r="K39" s="101" t="s">
        <v>616</v>
      </c>
      <c r="L39" s="104">
        <f>SUM(E39+(F39*3)*1.03)</f>
        <v>274695.54666666669</v>
      </c>
      <c r="M39" s="104">
        <f>SUM(E39)+(F39*3)*1.03</f>
        <v>274695.54666666669</v>
      </c>
      <c r="N39" s="104"/>
      <c r="O39" s="104"/>
      <c r="P39" s="104"/>
    </row>
    <row r="40" spans="1:16" x14ac:dyDescent="0.25">
      <c r="A40" s="44" t="s">
        <v>40</v>
      </c>
      <c r="B40" s="44">
        <v>3</v>
      </c>
      <c r="C40" s="118">
        <v>9959.7733333333344</v>
      </c>
      <c r="D40" s="45">
        <v>5360</v>
      </c>
      <c r="E40" s="45">
        <v>3609</v>
      </c>
      <c r="F40" s="45">
        <f t="shared" si="10"/>
        <v>401</v>
      </c>
      <c r="G40" s="45"/>
      <c r="H40" s="115">
        <f t="shared" si="8"/>
        <v>160.79999999999998</v>
      </c>
      <c r="I40" s="115">
        <v>4960</v>
      </c>
      <c r="J40" s="116">
        <f t="shared" si="9"/>
        <v>413.33333333333331</v>
      </c>
      <c r="K40" s="104"/>
      <c r="M40" s="104">
        <f t="shared" ref="M40:M55" si="11">SUM((E40+(F40*3))*1.03)</f>
        <v>4956.3600000000006</v>
      </c>
      <c r="N40" s="104"/>
      <c r="O40" s="104"/>
      <c r="P40" s="104"/>
    </row>
    <row r="41" spans="1:16" x14ac:dyDescent="0.25">
      <c r="A41" s="44" t="s">
        <v>41</v>
      </c>
      <c r="B41" s="44">
        <v>3</v>
      </c>
      <c r="C41" s="271">
        <f>7880.76-45</f>
        <v>7835.76</v>
      </c>
      <c r="D41" s="45">
        <v>1240</v>
      </c>
      <c r="E41" s="45">
        <v>1176</v>
      </c>
      <c r="F41" s="45">
        <f t="shared" si="10"/>
        <v>130.66666666666666</v>
      </c>
      <c r="G41" s="45"/>
      <c r="H41" s="115">
        <f t="shared" si="8"/>
        <v>37.199999999999996</v>
      </c>
      <c r="I41" s="115">
        <v>1620</v>
      </c>
      <c r="J41" s="116">
        <f t="shared" si="9"/>
        <v>135</v>
      </c>
      <c r="K41" s="104"/>
      <c r="M41" s="104">
        <f t="shared" si="11"/>
        <v>1615.04</v>
      </c>
      <c r="N41" s="104"/>
      <c r="O41" s="104"/>
      <c r="P41" s="104"/>
    </row>
    <row r="42" spans="1:16" x14ac:dyDescent="0.25">
      <c r="A42" s="44" t="s">
        <v>405</v>
      </c>
      <c r="B42" s="44">
        <v>3</v>
      </c>
      <c r="C42" s="271">
        <f>15550.21+33</f>
        <v>15583.21</v>
      </c>
      <c r="D42" s="45">
        <v>5850</v>
      </c>
      <c r="E42" s="45">
        <v>3818</v>
      </c>
      <c r="F42" s="45">
        <f t="shared" si="10"/>
        <v>424.22222222222223</v>
      </c>
      <c r="G42" s="45"/>
      <c r="H42" s="115">
        <f t="shared" si="8"/>
        <v>175.5</v>
      </c>
      <c r="I42" s="115">
        <v>5240</v>
      </c>
      <c r="J42" s="116">
        <f t="shared" si="9"/>
        <v>436.66666666666669</v>
      </c>
      <c r="K42" s="104"/>
      <c r="M42" s="104">
        <f t="shared" si="11"/>
        <v>5243.3866666666672</v>
      </c>
      <c r="N42" s="104"/>
      <c r="O42" s="104"/>
      <c r="P42" s="104"/>
    </row>
    <row r="43" spans="1:16" x14ac:dyDescent="0.25">
      <c r="A43" s="44" t="s">
        <v>297</v>
      </c>
      <c r="B43" s="44">
        <v>3</v>
      </c>
      <c r="C43" s="271">
        <f>44678.06-668</f>
        <v>44010.06</v>
      </c>
      <c r="D43" s="45">
        <v>18670</v>
      </c>
      <c r="E43" s="45">
        <v>9776</v>
      </c>
      <c r="F43" s="45">
        <f t="shared" si="10"/>
        <v>1086.2222222222222</v>
      </c>
      <c r="G43" s="45"/>
      <c r="H43" s="115">
        <f t="shared" si="8"/>
        <v>560.1</v>
      </c>
      <c r="I43" s="115">
        <v>13430</v>
      </c>
      <c r="J43" s="116">
        <f t="shared" si="9"/>
        <v>1119.1666666666667</v>
      </c>
      <c r="K43" s="104"/>
      <c r="M43" s="104">
        <f t="shared" si="11"/>
        <v>13425.706666666667</v>
      </c>
      <c r="N43" s="104"/>
      <c r="O43" s="104"/>
      <c r="P43" s="104"/>
    </row>
    <row r="44" spans="1:16" x14ac:dyDescent="0.25">
      <c r="A44" s="44" t="s">
        <v>406</v>
      </c>
      <c r="B44" s="44">
        <v>3</v>
      </c>
      <c r="C44" s="271">
        <f>1523.2+3021</f>
        <v>4544.2</v>
      </c>
      <c r="D44" s="45">
        <v>1020</v>
      </c>
      <c r="E44" s="45">
        <v>1109</v>
      </c>
      <c r="F44" s="45">
        <f t="shared" si="10"/>
        <v>123.22222222222223</v>
      </c>
      <c r="G44" s="45"/>
      <c r="H44" s="115">
        <f t="shared" si="8"/>
        <v>30.599999999999998</v>
      </c>
      <c r="I44" s="115">
        <v>1520</v>
      </c>
      <c r="J44" s="116">
        <f t="shared" si="9"/>
        <v>126.66666666666667</v>
      </c>
      <c r="K44" s="104"/>
      <c r="M44" s="104">
        <f t="shared" si="11"/>
        <v>1523.0266666666669</v>
      </c>
      <c r="N44" s="104"/>
      <c r="O44" s="104"/>
      <c r="P44" s="104"/>
    </row>
    <row r="45" spans="1:16" x14ac:dyDescent="0.25">
      <c r="A45" s="44" t="s">
        <v>429</v>
      </c>
      <c r="B45" s="44">
        <v>3</v>
      </c>
      <c r="C45" s="271">
        <f>29</f>
        <v>29</v>
      </c>
      <c r="D45" s="45">
        <v>130</v>
      </c>
      <c r="E45" s="45">
        <v>87</v>
      </c>
      <c r="F45" s="45">
        <f t="shared" si="10"/>
        <v>9.6666666666666661</v>
      </c>
      <c r="G45" s="45"/>
      <c r="H45" s="115">
        <f t="shared" si="8"/>
        <v>3.9</v>
      </c>
      <c r="I45" s="115">
        <v>120</v>
      </c>
      <c r="J45" s="116">
        <f t="shared" si="9"/>
        <v>10</v>
      </c>
      <c r="K45" s="104"/>
      <c r="M45" s="104">
        <f t="shared" si="11"/>
        <v>119.48</v>
      </c>
      <c r="N45" s="104"/>
      <c r="O45" s="104"/>
      <c r="P45" s="104"/>
    </row>
    <row r="46" spans="1:16" x14ac:dyDescent="0.25">
      <c r="A46" s="44" t="s">
        <v>407</v>
      </c>
      <c r="B46" s="44">
        <v>3</v>
      </c>
      <c r="C46" s="271">
        <f>4829.98+8771</f>
        <v>13600.98</v>
      </c>
      <c r="D46" s="45">
        <v>2950</v>
      </c>
      <c r="E46" s="45">
        <v>2124</v>
      </c>
      <c r="F46" s="45">
        <f t="shared" si="10"/>
        <v>236</v>
      </c>
      <c r="G46" s="45"/>
      <c r="H46" s="115">
        <f t="shared" si="8"/>
        <v>88.5</v>
      </c>
      <c r="I46" s="115">
        <v>2920</v>
      </c>
      <c r="J46" s="116">
        <f t="shared" si="9"/>
        <v>243.33333333333334</v>
      </c>
      <c r="K46" s="104"/>
      <c r="M46" s="104">
        <f t="shared" si="11"/>
        <v>2916.96</v>
      </c>
      <c r="N46" s="104"/>
      <c r="O46" s="104"/>
      <c r="P46" s="104"/>
    </row>
    <row r="47" spans="1:16" x14ac:dyDescent="0.25">
      <c r="A47" s="44" t="s">
        <v>359</v>
      </c>
      <c r="B47" s="44">
        <v>3</v>
      </c>
      <c r="C47" s="271">
        <f>1375+4479</f>
        <v>5854</v>
      </c>
      <c r="D47" s="45">
        <v>11660</v>
      </c>
      <c r="E47" s="45">
        <v>27742</v>
      </c>
      <c r="F47" s="45">
        <f t="shared" si="10"/>
        <v>3082.4444444444443</v>
      </c>
      <c r="G47" s="45"/>
      <c r="H47" s="115">
        <f t="shared" si="8"/>
        <v>349.8</v>
      </c>
      <c r="I47" s="115">
        <v>22000</v>
      </c>
      <c r="J47" s="116">
        <f t="shared" si="9"/>
        <v>1833.3333333333333</v>
      </c>
      <c r="K47" s="101" t="s">
        <v>657</v>
      </c>
      <c r="M47" s="104">
        <f t="shared" si="11"/>
        <v>38099.013333333329</v>
      </c>
      <c r="N47" s="104"/>
      <c r="O47" s="104"/>
      <c r="P47" s="104"/>
    </row>
    <row r="48" spans="1:16" x14ac:dyDescent="0.25">
      <c r="A48" s="44" t="s">
        <v>244</v>
      </c>
      <c r="B48" s="44">
        <v>3</v>
      </c>
      <c r="C48" s="271">
        <f>138730.45-67663</f>
        <v>71067.450000000012</v>
      </c>
      <c r="D48" s="45">
        <v>2000</v>
      </c>
      <c r="E48" s="45">
        <v>19677</v>
      </c>
      <c r="F48" s="45">
        <f t="shared" si="10"/>
        <v>2186.3333333333335</v>
      </c>
      <c r="G48" s="45"/>
      <c r="H48" s="115">
        <f t="shared" si="8"/>
        <v>60</v>
      </c>
      <c r="I48" s="115">
        <v>18000</v>
      </c>
      <c r="J48" s="116">
        <f t="shared" si="9"/>
        <v>1500</v>
      </c>
      <c r="K48" s="104"/>
      <c r="M48" s="104">
        <f t="shared" si="11"/>
        <v>27023.08</v>
      </c>
      <c r="N48" s="104"/>
      <c r="O48" s="104"/>
      <c r="P48" s="104"/>
    </row>
    <row r="49" spans="1:16" x14ac:dyDescent="0.25">
      <c r="A49" s="44" t="s">
        <v>408</v>
      </c>
      <c r="B49" s="44">
        <v>3</v>
      </c>
      <c r="C49" s="271">
        <f>764.66+663</f>
        <v>1427.6599999999999</v>
      </c>
      <c r="D49" s="45">
        <v>8890</v>
      </c>
      <c r="E49" s="45">
        <v>0</v>
      </c>
      <c r="F49" s="45">
        <f t="shared" si="10"/>
        <v>0</v>
      </c>
      <c r="G49" s="45"/>
      <c r="H49" s="115">
        <f t="shared" si="8"/>
        <v>266.7</v>
      </c>
      <c r="I49" s="115">
        <v>2000</v>
      </c>
      <c r="J49" s="116">
        <f t="shared" si="9"/>
        <v>166.66666666666666</v>
      </c>
      <c r="K49" s="104"/>
      <c r="M49" s="104">
        <f t="shared" si="11"/>
        <v>0</v>
      </c>
      <c r="N49" s="104"/>
      <c r="O49" s="104"/>
      <c r="P49" s="104"/>
    </row>
    <row r="50" spans="1:16" x14ac:dyDescent="0.25">
      <c r="A50" s="44" t="s">
        <v>43</v>
      </c>
      <c r="B50" s="44">
        <v>3</v>
      </c>
      <c r="C50" s="271">
        <f>10031.49+5523</f>
        <v>15554.49</v>
      </c>
      <c r="D50" s="45">
        <v>2660</v>
      </c>
      <c r="E50" s="45">
        <v>3767</v>
      </c>
      <c r="F50" s="45">
        <f t="shared" si="10"/>
        <v>418.55555555555554</v>
      </c>
      <c r="G50" s="45"/>
      <c r="H50" s="115">
        <f t="shared" si="8"/>
        <v>79.8</v>
      </c>
      <c r="I50" s="115">
        <v>5170</v>
      </c>
      <c r="J50" s="116">
        <f t="shared" si="9"/>
        <v>430.83333333333331</v>
      </c>
      <c r="K50" s="104"/>
      <c r="M50" s="104">
        <f t="shared" si="11"/>
        <v>5173.3466666666664</v>
      </c>
      <c r="N50" s="104"/>
      <c r="O50" s="104"/>
      <c r="P50" s="104"/>
    </row>
    <row r="51" spans="1:16" x14ac:dyDescent="0.25">
      <c r="A51" s="44" t="s">
        <v>409</v>
      </c>
      <c r="B51" s="44">
        <v>3</v>
      </c>
      <c r="C51" s="271">
        <f>12657.67+3129</f>
        <v>15786.67</v>
      </c>
      <c r="D51" s="45">
        <v>7220</v>
      </c>
      <c r="E51" s="45">
        <v>6416</v>
      </c>
      <c r="F51" s="45">
        <f t="shared" si="10"/>
        <v>712.88888888888891</v>
      </c>
      <c r="G51" s="45"/>
      <c r="H51" s="115">
        <f t="shared" si="8"/>
        <v>216.6</v>
      </c>
      <c r="I51" s="115">
        <v>8810</v>
      </c>
      <c r="J51" s="116">
        <f t="shared" si="9"/>
        <v>734.16666666666663</v>
      </c>
      <c r="K51" s="104"/>
      <c r="M51" s="104">
        <f t="shared" si="11"/>
        <v>8811.3066666666673</v>
      </c>
      <c r="N51" s="104"/>
      <c r="O51" s="104"/>
      <c r="P51" s="104"/>
    </row>
    <row r="52" spans="1:16" x14ac:dyDescent="0.25">
      <c r="A52" s="44" t="s">
        <v>331</v>
      </c>
      <c r="B52" s="44">
        <v>3</v>
      </c>
      <c r="C52" s="271">
        <f>9516.54+6677</f>
        <v>16193.54</v>
      </c>
      <c r="D52" s="45">
        <v>5810</v>
      </c>
      <c r="E52" s="45">
        <v>4834</v>
      </c>
      <c r="F52" s="45">
        <f t="shared" si="10"/>
        <v>537.11111111111109</v>
      </c>
      <c r="G52" s="45"/>
      <c r="H52" s="115">
        <f t="shared" si="8"/>
        <v>174.29999999999998</v>
      </c>
      <c r="I52" s="115">
        <v>6640</v>
      </c>
      <c r="J52" s="116">
        <f t="shared" si="9"/>
        <v>553.33333333333337</v>
      </c>
      <c r="K52" s="104"/>
      <c r="M52" s="104">
        <f t="shared" si="11"/>
        <v>6638.6933333333336</v>
      </c>
      <c r="N52" s="104"/>
      <c r="O52" s="104"/>
      <c r="P52" s="104"/>
    </row>
    <row r="53" spans="1:16" x14ac:dyDescent="0.25">
      <c r="A53" s="44" t="s">
        <v>217</v>
      </c>
      <c r="B53" s="44">
        <v>3</v>
      </c>
      <c r="C53" s="271">
        <f>10560.17+5605</f>
        <v>16165.17</v>
      </c>
      <c r="D53" s="45">
        <v>1550</v>
      </c>
      <c r="E53" s="45">
        <v>3796</v>
      </c>
      <c r="F53" s="45">
        <f t="shared" si="10"/>
        <v>421.77777777777777</v>
      </c>
      <c r="G53" s="45"/>
      <c r="H53" s="115">
        <f t="shared" si="8"/>
        <v>46.5</v>
      </c>
      <c r="I53" s="115">
        <v>5210</v>
      </c>
      <c r="J53" s="116">
        <f t="shared" si="9"/>
        <v>434.16666666666669</v>
      </c>
      <c r="K53" s="101"/>
      <c r="M53" s="104">
        <f t="shared" si="11"/>
        <v>5213.1733333333332</v>
      </c>
      <c r="N53" s="104"/>
      <c r="O53" s="104"/>
      <c r="P53" s="104"/>
    </row>
    <row r="54" spans="1:16" ht="24.75" x14ac:dyDescent="0.25">
      <c r="A54" s="44" t="s">
        <v>271</v>
      </c>
      <c r="B54" s="44">
        <v>3</v>
      </c>
      <c r="C54" s="271">
        <f>14120.85-2151</f>
        <v>11969.85</v>
      </c>
      <c r="D54" s="45">
        <v>11780</v>
      </c>
      <c r="E54" s="45">
        <v>5161</v>
      </c>
      <c r="F54" s="45">
        <f t="shared" si="10"/>
        <v>573.44444444444446</v>
      </c>
      <c r="G54" s="45"/>
      <c r="H54" s="115">
        <f t="shared" si="8"/>
        <v>353.4</v>
      </c>
      <c r="I54" s="115">
        <f>7090+4000+600+3000</f>
        <v>14690</v>
      </c>
      <c r="J54" s="116">
        <f t="shared" si="9"/>
        <v>1224.1666666666667</v>
      </c>
      <c r="K54" s="101" t="s">
        <v>666</v>
      </c>
      <c r="M54" s="104">
        <f t="shared" si="11"/>
        <v>7087.7733333333344</v>
      </c>
      <c r="N54" s="104"/>
      <c r="O54" s="104"/>
      <c r="P54" s="104"/>
    </row>
    <row r="55" spans="1:16" x14ac:dyDescent="0.25">
      <c r="A55" s="44" t="s">
        <v>410</v>
      </c>
      <c r="B55" s="44">
        <v>3</v>
      </c>
      <c r="C55" s="271">
        <f>109082.25-53335</f>
        <v>55747.25</v>
      </c>
      <c r="D55" s="45">
        <v>14520</v>
      </c>
      <c r="E55" s="45">
        <v>17218</v>
      </c>
      <c r="F55" s="45">
        <f t="shared" si="10"/>
        <v>1913.1111111111111</v>
      </c>
      <c r="G55" s="45"/>
      <c r="H55" s="115">
        <f t="shared" si="8"/>
        <v>435.59999999999997</v>
      </c>
      <c r="I55" s="115">
        <f>23650+1660</f>
        <v>25310</v>
      </c>
      <c r="J55" s="116">
        <f t="shared" si="9"/>
        <v>2109.1666666666665</v>
      </c>
      <c r="K55" s="101" t="s">
        <v>614</v>
      </c>
      <c r="M55" s="104">
        <f t="shared" si="11"/>
        <v>23646.053333333333</v>
      </c>
      <c r="N55" s="104"/>
      <c r="O55" s="104"/>
      <c r="P55" s="104"/>
    </row>
    <row r="56" spans="1:16" x14ac:dyDescent="0.25">
      <c r="A56" s="44" t="s">
        <v>411</v>
      </c>
      <c r="B56" s="44">
        <v>3</v>
      </c>
      <c r="C56" s="272">
        <f>13708.66+8341</f>
        <v>22049.66</v>
      </c>
      <c r="D56" s="52">
        <v>7340</v>
      </c>
      <c r="E56" s="52">
        <v>5567</v>
      </c>
      <c r="F56" s="52">
        <f>E56/9</f>
        <v>618.55555555555554</v>
      </c>
      <c r="G56" s="52"/>
      <c r="H56" s="142">
        <f t="shared" si="8"/>
        <v>220.2</v>
      </c>
      <c r="I56" s="142">
        <v>7650</v>
      </c>
      <c r="J56" s="120">
        <f t="shared" si="9"/>
        <v>637.5</v>
      </c>
      <c r="K56" s="101"/>
      <c r="M56" s="104">
        <f>SUM((E56+(F56*3))*1.03)</f>
        <v>7645.3466666666664</v>
      </c>
      <c r="N56" s="104"/>
      <c r="O56" s="104"/>
      <c r="P56" s="104"/>
    </row>
    <row r="57" spans="1:16" x14ac:dyDescent="0.25">
      <c r="A57" s="75" t="s">
        <v>81</v>
      </c>
      <c r="B57" s="44"/>
      <c r="C57" s="45">
        <f>SUM(C38:C56)</f>
        <v>1083132.7633333332</v>
      </c>
      <c r="D57" s="45">
        <f>SUM(D38:D56)</f>
        <v>339620</v>
      </c>
      <c r="E57" s="45">
        <f>SUM(E38:E56)</f>
        <v>320365</v>
      </c>
      <c r="F57" s="45">
        <f>SUM(F38:F56)</f>
        <v>35596.111111111109</v>
      </c>
      <c r="G57" s="45"/>
      <c r="H57" s="115">
        <f>SUM(H38:H56)</f>
        <v>10188.6</v>
      </c>
      <c r="I57" s="115">
        <f>SUM(I38:I56)</f>
        <v>384070</v>
      </c>
      <c r="J57" s="116">
        <f>SUM(J38:J56)</f>
        <v>32005.833333333339</v>
      </c>
      <c r="K57" s="101"/>
      <c r="L57" s="104"/>
      <c r="M57" s="104"/>
      <c r="N57" s="104"/>
      <c r="O57" s="104"/>
      <c r="P57" s="104"/>
    </row>
    <row r="58" spans="1:16" x14ac:dyDescent="0.25">
      <c r="A58" s="44"/>
      <c r="B58" s="44"/>
      <c r="C58" s="45"/>
      <c r="D58" s="45"/>
      <c r="E58" s="45"/>
      <c r="F58" s="45"/>
      <c r="G58" s="45"/>
      <c r="H58" s="115"/>
      <c r="I58" s="115"/>
      <c r="J58" s="116"/>
      <c r="K58" s="101"/>
      <c r="L58" s="104"/>
      <c r="M58" s="104"/>
      <c r="N58" s="104"/>
      <c r="O58" s="104"/>
      <c r="P58" s="104"/>
    </row>
    <row r="59" spans="1:16" x14ac:dyDescent="0.25">
      <c r="A59" s="75" t="s">
        <v>450</v>
      </c>
      <c r="B59" s="44"/>
      <c r="C59" s="45"/>
      <c r="D59" s="45"/>
      <c r="E59" s="45"/>
      <c r="F59" s="45"/>
      <c r="G59" s="45"/>
      <c r="H59" s="115"/>
      <c r="I59" s="115"/>
      <c r="J59" s="116"/>
      <c r="K59" s="101"/>
      <c r="L59" s="104"/>
      <c r="M59" s="104"/>
      <c r="N59" s="104"/>
      <c r="O59" s="104"/>
      <c r="P59" s="104"/>
    </row>
    <row r="60" spans="1:16" x14ac:dyDescent="0.25">
      <c r="A60" s="44" t="s">
        <v>286</v>
      </c>
      <c r="B60" s="44">
        <v>3</v>
      </c>
      <c r="C60" s="118">
        <v>15728.383333333335</v>
      </c>
      <c r="D60" s="45">
        <v>5290</v>
      </c>
      <c r="E60" s="45">
        <v>3168</v>
      </c>
      <c r="F60" s="45">
        <f>E60/9</f>
        <v>352</v>
      </c>
      <c r="G60" s="45"/>
      <c r="H60" s="115">
        <f>D60*$M$60</f>
        <v>0</v>
      </c>
      <c r="I60" s="115">
        <v>4350</v>
      </c>
      <c r="J60" s="116">
        <f t="shared" ref="J60:J64" si="12">I60/12</f>
        <v>362.5</v>
      </c>
      <c r="K60" s="101" t="s">
        <v>501</v>
      </c>
      <c r="L60" s="104">
        <f>SUM((E60+(F60*3))*1.03)</f>
        <v>4350.72</v>
      </c>
      <c r="M60" s="165"/>
      <c r="N60" s="104"/>
      <c r="O60" s="104"/>
      <c r="P60" s="104"/>
    </row>
    <row r="61" spans="1:16" x14ac:dyDescent="0.25">
      <c r="A61" s="44" t="s">
        <v>335</v>
      </c>
      <c r="B61" s="44">
        <v>3</v>
      </c>
      <c r="C61" s="118">
        <f>7045.76+353</f>
        <v>7398.76</v>
      </c>
      <c r="D61" s="45">
        <v>1580</v>
      </c>
      <c r="E61" s="45">
        <v>1560</v>
      </c>
      <c r="F61" s="45">
        <f t="shared" ref="F61:F62" si="13">E61/9</f>
        <v>173.33333333333334</v>
      </c>
      <c r="G61" s="45"/>
      <c r="H61" s="115">
        <f>D61*$M$61</f>
        <v>0</v>
      </c>
      <c r="I61" s="115">
        <v>2250</v>
      </c>
      <c r="J61" s="116">
        <f t="shared" si="12"/>
        <v>187.5</v>
      </c>
      <c r="K61" s="101" t="s">
        <v>610</v>
      </c>
      <c r="L61" s="104">
        <f>SUM((E61+(F61*3))*1.08)</f>
        <v>2246.4</v>
      </c>
      <c r="M61" s="165"/>
      <c r="N61" s="104"/>
      <c r="O61" s="104"/>
      <c r="P61" s="104"/>
    </row>
    <row r="62" spans="1:16" x14ac:dyDescent="0.25">
      <c r="A62" s="44" t="s">
        <v>412</v>
      </c>
      <c r="B62" s="44">
        <v>3</v>
      </c>
      <c r="C62" s="118">
        <f>7017.91+301</f>
        <v>7318.91</v>
      </c>
      <c r="D62" s="45">
        <v>2580</v>
      </c>
      <c r="E62" s="45">
        <v>1678</v>
      </c>
      <c r="F62" s="45">
        <f t="shared" si="13"/>
        <v>186.44444444444446</v>
      </c>
      <c r="G62" s="45"/>
      <c r="H62" s="115">
        <f>D62*$M$62</f>
        <v>0</v>
      </c>
      <c r="I62" s="115">
        <v>2330</v>
      </c>
      <c r="J62" s="116">
        <f t="shared" si="12"/>
        <v>194.16666666666666</v>
      </c>
      <c r="K62" s="101" t="s">
        <v>533</v>
      </c>
      <c r="L62" s="104">
        <f>SUM((E62+(F62*3))*1.04)</f>
        <v>2326.8266666666668</v>
      </c>
      <c r="M62" s="165"/>
      <c r="N62" s="104"/>
      <c r="O62" s="104"/>
      <c r="P62" s="104"/>
    </row>
    <row r="63" spans="1:16" x14ac:dyDescent="0.25">
      <c r="A63" s="44" t="s">
        <v>336</v>
      </c>
      <c r="B63" s="44">
        <v>3</v>
      </c>
      <c r="C63" s="119">
        <v>1685.7066666666667</v>
      </c>
      <c r="D63" s="52">
        <v>420</v>
      </c>
      <c r="E63" s="52">
        <v>547</v>
      </c>
      <c r="F63" s="52">
        <f>E63/9</f>
        <v>60.777777777777779</v>
      </c>
      <c r="G63" s="52"/>
      <c r="H63" s="142">
        <f>D63*$M$63</f>
        <v>0</v>
      </c>
      <c r="I63" s="142">
        <v>770</v>
      </c>
      <c r="J63" s="120">
        <f t="shared" si="12"/>
        <v>64.166666666666671</v>
      </c>
      <c r="K63" s="101" t="s">
        <v>585</v>
      </c>
      <c r="L63" s="104">
        <f>SUM((E63+(F63*3))*1.05)</f>
        <v>765.80000000000007</v>
      </c>
      <c r="M63" s="165"/>
      <c r="N63" s="104"/>
      <c r="O63" s="104"/>
      <c r="P63" s="104"/>
    </row>
    <row r="64" spans="1:16" x14ac:dyDescent="0.25">
      <c r="A64" s="75" t="s">
        <v>301</v>
      </c>
      <c r="B64" s="44"/>
      <c r="C64" s="45">
        <f>SUM(C60:C63)</f>
        <v>32131.759999999998</v>
      </c>
      <c r="D64" s="45">
        <f>SUM(D60:D63)</f>
        <v>9870</v>
      </c>
      <c r="E64" s="45">
        <f>SUM(E60:E63)</f>
        <v>6953</v>
      </c>
      <c r="F64" s="45">
        <f>SUM(F60:F63)</f>
        <v>772.55555555555566</v>
      </c>
      <c r="G64" s="45"/>
      <c r="H64" s="115">
        <f>SUM(H60:H63)</f>
        <v>0</v>
      </c>
      <c r="I64" s="115">
        <f>SUM(I60:I63)</f>
        <v>9700</v>
      </c>
      <c r="J64" s="116">
        <f t="shared" si="12"/>
        <v>808.33333333333337</v>
      </c>
      <c r="K64" s="101"/>
      <c r="L64" s="104"/>
      <c r="M64" s="104"/>
      <c r="N64" s="104"/>
      <c r="O64" s="104"/>
      <c r="P64" s="104"/>
    </row>
    <row r="65" spans="1:18" x14ac:dyDescent="0.25">
      <c r="A65" s="44"/>
      <c r="B65" s="44"/>
      <c r="C65" s="45"/>
      <c r="D65" s="45"/>
      <c r="E65" s="45"/>
      <c r="F65" s="45"/>
      <c r="G65" s="45"/>
      <c r="H65" s="115"/>
      <c r="I65" s="115"/>
      <c r="J65" s="116"/>
      <c r="K65" s="104"/>
      <c r="L65" s="104"/>
      <c r="M65" s="104"/>
      <c r="N65" s="104"/>
      <c r="O65" s="104"/>
      <c r="P65" s="104"/>
    </row>
    <row r="66" spans="1:18" x14ac:dyDescent="0.25">
      <c r="A66" s="75" t="s">
        <v>451</v>
      </c>
      <c r="B66" s="44"/>
      <c r="C66" s="45"/>
      <c r="D66" s="45"/>
      <c r="E66" s="45"/>
      <c r="F66" s="45"/>
      <c r="G66" s="45"/>
      <c r="H66" s="115"/>
      <c r="I66" s="115"/>
      <c r="J66" s="116"/>
      <c r="K66" s="101"/>
      <c r="L66" s="104"/>
      <c r="M66" s="104"/>
      <c r="N66" s="104"/>
      <c r="O66" s="104"/>
      <c r="P66" s="104"/>
    </row>
    <row r="67" spans="1:18" x14ac:dyDescent="0.25">
      <c r="A67" s="44" t="s">
        <v>50</v>
      </c>
      <c r="B67" s="44">
        <v>3</v>
      </c>
      <c r="C67" s="118">
        <v>291</v>
      </c>
      <c r="D67" s="45">
        <v>280</v>
      </c>
      <c r="E67" s="45">
        <v>213</v>
      </c>
      <c r="F67" s="45">
        <f>E67/9</f>
        <v>23.666666666666668</v>
      </c>
      <c r="G67" s="45"/>
      <c r="H67" s="115">
        <f>D67*$O$12</f>
        <v>8.4</v>
      </c>
      <c r="I67" s="115">
        <v>290</v>
      </c>
      <c r="J67" s="116">
        <f t="shared" ref="J67:J78" si="14">I67/12</f>
        <v>24.166666666666668</v>
      </c>
      <c r="K67" s="104"/>
      <c r="M67" s="104">
        <f>SUM((E67+(F67*3))*1.03)</f>
        <v>292.52</v>
      </c>
      <c r="N67" s="104"/>
      <c r="O67" s="104"/>
      <c r="P67" s="104"/>
    </row>
    <row r="68" spans="1:18" x14ac:dyDescent="0.25">
      <c r="A68" s="44" t="s">
        <v>338</v>
      </c>
      <c r="B68" s="44">
        <v>3</v>
      </c>
      <c r="C68" s="118">
        <f>6060+5007</f>
        <v>11067</v>
      </c>
      <c r="D68" s="45">
        <v>3610</v>
      </c>
      <c r="E68" s="45">
        <v>4985</v>
      </c>
      <c r="F68" s="45">
        <f t="shared" ref="F68:F76" si="15">E68/9</f>
        <v>553.88888888888891</v>
      </c>
      <c r="G68" s="45"/>
      <c r="H68" s="115">
        <f>D68*$O$12</f>
        <v>108.3</v>
      </c>
      <c r="I68" s="115">
        <v>6850</v>
      </c>
      <c r="J68" s="116">
        <f t="shared" si="14"/>
        <v>570.83333333333337</v>
      </c>
      <c r="K68" s="104"/>
      <c r="L68" s="104"/>
      <c r="M68" s="104">
        <f t="shared" ref="M68:M77" si="16">SUM((E68+(F68*3))*1.03)</f>
        <v>6846.0666666666675</v>
      </c>
      <c r="N68" s="104"/>
      <c r="O68" s="104"/>
      <c r="P68" s="104"/>
    </row>
    <row r="69" spans="1:18" x14ac:dyDescent="0.25">
      <c r="A69" s="44" t="s">
        <v>302</v>
      </c>
      <c r="B69" s="44"/>
      <c r="C69" s="118"/>
      <c r="D69" s="45">
        <v>0</v>
      </c>
      <c r="E69" s="45">
        <v>99</v>
      </c>
      <c r="F69" s="45">
        <f t="shared" si="15"/>
        <v>11</v>
      </c>
      <c r="G69" s="45"/>
      <c r="H69" s="115"/>
      <c r="I69" s="115">
        <v>140</v>
      </c>
      <c r="J69" s="116">
        <f t="shared" si="14"/>
        <v>11.666666666666666</v>
      </c>
      <c r="K69" s="104"/>
      <c r="L69" s="104"/>
      <c r="M69" s="104">
        <f t="shared" si="16"/>
        <v>135.96</v>
      </c>
      <c r="N69" s="104"/>
      <c r="O69" s="104"/>
      <c r="P69" s="104"/>
    </row>
    <row r="70" spans="1:18" x14ac:dyDescent="0.25">
      <c r="A70" s="44" t="s">
        <v>341</v>
      </c>
      <c r="B70" s="44">
        <v>3</v>
      </c>
      <c r="C70" s="118">
        <f>1405+23</f>
        <v>1428</v>
      </c>
      <c r="D70" s="45">
        <v>580</v>
      </c>
      <c r="E70" s="45">
        <v>396</v>
      </c>
      <c r="F70" s="45">
        <f t="shared" si="15"/>
        <v>44</v>
      </c>
      <c r="G70" s="45"/>
      <c r="H70" s="115">
        <f>D70*$O$12</f>
        <v>17.399999999999999</v>
      </c>
      <c r="I70" s="115">
        <v>550</v>
      </c>
      <c r="J70" s="116">
        <f t="shared" si="14"/>
        <v>45.833333333333336</v>
      </c>
      <c r="K70" s="101" t="s">
        <v>537</v>
      </c>
      <c r="L70" s="104"/>
      <c r="M70" s="104">
        <f>SUM((E70+(F70*3))*1.05)</f>
        <v>554.4</v>
      </c>
      <c r="N70" s="104"/>
      <c r="O70" s="104"/>
      <c r="P70" s="104"/>
    </row>
    <row r="71" spans="1:18" x14ac:dyDescent="0.25">
      <c r="A71" s="44" t="s">
        <v>413</v>
      </c>
      <c r="B71" s="44">
        <v>3</v>
      </c>
      <c r="C71" s="118">
        <f>8730+1173</f>
        <v>9903</v>
      </c>
      <c r="D71" s="45">
        <v>3820</v>
      </c>
      <c r="E71" s="45">
        <v>3595</v>
      </c>
      <c r="F71" s="45">
        <f t="shared" si="15"/>
        <v>399.44444444444446</v>
      </c>
      <c r="G71" s="45"/>
      <c r="H71" s="115">
        <f>D71*$O$12</f>
        <v>114.6</v>
      </c>
      <c r="I71" s="115">
        <v>4940</v>
      </c>
      <c r="J71" s="116">
        <f t="shared" si="14"/>
        <v>411.66666666666669</v>
      </c>
      <c r="K71" s="104"/>
      <c r="L71" s="104"/>
      <c r="M71" s="104">
        <f t="shared" si="16"/>
        <v>4937.1333333333341</v>
      </c>
      <c r="N71" s="104"/>
      <c r="O71" s="104"/>
      <c r="P71" s="104"/>
    </row>
    <row r="72" spans="1:18" x14ac:dyDescent="0.25">
      <c r="A72" s="44" t="s">
        <v>248</v>
      </c>
      <c r="B72" s="44">
        <v>3</v>
      </c>
      <c r="C72" s="118">
        <f>2537-877</f>
        <v>1660</v>
      </c>
      <c r="D72" s="45">
        <v>370</v>
      </c>
      <c r="E72" s="45">
        <v>1702</v>
      </c>
      <c r="F72" s="45">
        <f t="shared" si="15"/>
        <v>189.11111111111111</v>
      </c>
      <c r="G72" s="45"/>
      <c r="H72" s="115">
        <f>D72*$O$12</f>
        <v>11.1</v>
      </c>
      <c r="I72" s="115">
        <v>2340</v>
      </c>
      <c r="J72" s="116">
        <f t="shared" si="14"/>
        <v>195</v>
      </c>
      <c r="K72" s="104"/>
      <c r="L72" s="104"/>
      <c r="M72" s="104">
        <f t="shared" si="16"/>
        <v>2337.4133333333334</v>
      </c>
      <c r="N72" s="104"/>
      <c r="O72" s="104"/>
      <c r="P72" s="104"/>
    </row>
    <row r="73" spans="1:18" x14ac:dyDescent="0.25">
      <c r="A73" s="44" t="s">
        <v>55</v>
      </c>
      <c r="B73" s="44">
        <v>3</v>
      </c>
      <c r="C73" s="118">
        <f>23953.23+659</f>
        <v>24612.23</v>
      </c>
      <c r="D73" s="45">
        <v>8520</v>
      </c>
      <c r="E73" s="45">
        <v>11669</v>
      </c>
      <c r="F73" s="45">
        <f t="shared" si="15"/>
        <v>1296.5555555555557</v>
      </c>
      <c r="G73" s="45"/>
      <c r="H73" s="115">
        <f>D73*$O$12</f>
        <v>255.6</v>
      </c>
      <c r="I73" s="115">
        <v>16020</v>
      </c>
      <c r="J73" s="116">
        <f t="shared" si="14"/>
        <v>1335</v>
      </c>
      <c r="K73" s="101" t="s">
        <v>613</v>
      </c>
      <c r="L73" s="104"/>
      <c r="M73" s="104">
        <f t="shared" si="16"/>
        <v>16025.426666666668</v>
      </c>
      <c r="N73" s="104"/>
      <c r="O73" s="104"/>
      <c r="P73" s="104"/>
    </row>
    <row r="74" spans="1:18" hidden="1" x14ac:dyDescent="0.25">
      <c r="A74" s="44" t="s">
        <v>496</v>
      </c>
      <c r="B74" s="44"/>
      <c r="C74" s="118"/>
      <c r="D74" s="45">
        <v>0</v>
      </c>
      <c r="E74" s="45">
        <v>0</v>
      </c>
      <c r="F74" s="45">
        <f t="shared" si="15"/>
        <v>0</v>
      </c>
      <c r="G74" s="45"/>
      <c r="H74" s="115"/>
      <c r="I74" s="115">
        <v>0</v>
      </c>
      <c r="J74" s="116">
        <f t="shared" si="14"/>
        <v>0</v>
      </c>
      <c r="K74" s="101"/>
      <c r="L74" s="104"/>
      <c r="M74" s="104"/>
      <c r="N74" s="104"/>
      <c r="O74" s="104"/>
      <c r="P74" s="104"/>
      <c r="Q74" s="104"/>
      <c r="R74" s="104"/>
    </row>
    <row r="75" spans="1:18" hidden="1" x14ac:dyDescent="0.25">
      <c r="A75" s="44" t="s">
        <v>497</v>
      </c>
      <c r="B75" s="44"/>
      <c r="C75" s="118"/>
      <c r="D75" s="45">
        <v>0</v>
      </c>
      <c r="E75" s="45">
        <v>0</v>
      </c>
      <c r="F75" s="45">
        <f t="shared" si="15"/>
        <v>0</v>
      </c>
      <c r="G75" s="45"/>
      <c r="H75" s="115"/>
      <c r="I75" s="115">
        <v>0</v>
      </c>
      <c r="J75" s="116">
        <f t="shared" si="14"/>
        <v>0</v>
      </c>
      <c r="K75" s="101"/>
      <c r="L75" s="104"/>
      <c r="M75" s="104"/>
      <c r="N75" s="104"/>
      <c r="O75" s="104"/>
      <c r="P75" s="104"/>
      <c r="Q75" s="104"/>
      <c r="R75" s="104"/>
    </row>
    <row r="76" spans="1:18" x14ac:dyDescent="0.25">
      <c r="A76" s="44" t="s">
        <v>371</v>
      </c>
      <c r="B76" s="44">
        <v>3</v>
      </c>
      <c r="C76" s="118">
        <f>8840.95+829</f>
        <v>9669.9500000000007</v>
      </c>
      <c r="D76" s="45">
        <v>3370</v>
      </c>
      <c r="E76" s="45">
        <v>5308</v>
      </c>
      <c r="F76" s="45">
        <f t="shared" si="15"/>
        <v>589.77777777777783</v>
      </c>
      <c r="G76" s="45"/>
      <c r="H76" s="115">
        <f>D76*$O$12</f>
        <v>101.1</v>
      </c>
      <c r="I76" s="115">
        <v>7290</v>
      </c>
      <c r="J76" s="116">
        <f t="shared" si="14"/>
        <v>607.5</v>
      </c>
      <c r="K76" s="104"/>
      <c r="L76" s="104"/>
      <c r="M76" s="104">
        <f t="shared" si="16"/>
        <v>7289.6533333333346</v>
      </c>
      <c r="N76" s="104"/>
      <c r="O76" s="104"/>
      <c r="P76" s="104"/>
    </row>
    <row r="77" spans="1:18" x14ac:dyDescent="0.25">
      <c r="A77" s="44" t="s">
        <v>250</v>
      </c>
      <c r="B77" s="44">
        <v>3</v>
      </c>
      <c r="C77" s="119">
        <f>4803+1139</f>
        <v>5942</v>
      </c>
      <c r="D77" s="52">
        <v>2020</v>
      </c>
      <c r="E77" s="52">
        <v>665</v>
      </c>
      <c r="F77" s="52">
        <f>E77/9</f>
        <v>73.888888888888886</v>
      </c>
      <c r="G77" s="52"/>
      <c r="H77" s="142">
        <f>D77*$O$12</f>
        <v>60.599999999999994</v>
      </c>
      <c r="I77" s="142">
        <v>1760</v>
      </c>
      <c r="J77" s="120">
        <f t="shared" si="14"/>
        <v>146.66666666666666</v>
      </c>
      <c r="K77" s="101" t="s">
        <v>600</v>
      </c>
      <c r="L77" s="104"/>
      <c r="M77" s="104">
        <f t="shared" si="16"/>
        <v>913.26666666666665</v>
      </c>
      <c r="N77" s="104"/>
      <c r="O77" s="104"/>
      <c r="P77" s="104"/>
    </row>
    <row r="78" spans="1:18" x14ac:dyDescent="0.25">
      <c r="A78" s="75" t="s">
        <v>84</v>
      </c>
      <c r="B78" s="44"/>
      <c r="C78" s="45">
        <f>SUM(C67:C77)</f>
        <v>64573.179999999993</v>
      </c>
      <c r="D78" s="45">
        <f>SUM(D67:D77)</f>
        <v>22570</v>
      </c>
      <c r="E78" s="45">
        <f>SUM(E67:E77)</f>
        <v>28632</v>
      </c>
      <c r="F78" s="45">
        <f>SUM(F67:F77)</f>
        <v>3181.3333333333335</v>
      </c>
      <c r="G78" s="45"/>
      <c r="H78" s="115">
        <f>SUM(H67:H77)</f>
        <v>677.1</v>
      </c>
      <c r="I78" s="115">
        <f>SUM(I67:I77)</f>
        <v>40180</v>
      </c>
      <c r="J78" s="116">
        <f t="shared" si="14"/>
        <v>3348.3333333333335</v>
      </c>
      <c r="K78" s="104"/>
      <c r="L78" s="104"/>
      <c r="M78" s="104"/>
      <c r="N78" s="104"/>
      <c r="O78" s="104"/>
      <c r="P78" s="104"/>
    </row>
    <row r="79" spans="1:18" x14ac:dyDescent="0.25">
      <c r="A79" s="44"/>
      <c r="B79" s="44"/>
      <c r="C79" s="45"/>
      <c r="D79" s="45"/>
      <c r="E79" s="45"/>
      <c r="F79" s="45"/>
      <c r="G79" s="45"/>
      <c r="H79" s="115"/>
      <c r="I79" s="115"/>
      <c r="J79" s="116"/>
      <c r="K79" s="104"/>
      <c r="L79" s="104"/>
      <c r="M79" s="104"/>
      <c r="N79" s="104"/>
      <c r="O79" s="104"/>
      <c r="P79" s="104"/>
    </row>
    <row r="80" spans="1:18" x14ac:dyDescent="0.25">
      <c r="A80" s="75" t="s">
        <v>452</v>
      </c>
      <c r="B80" s="44"/>
      <c r="C80" s="45"/>
      <c r="D80" s="45"/>
      <c r="E80" s="45"/>
      <c r="F80" s="45"/>
      <c r="G80" s="45"/>
      <c r="H80" s="115"/>
      <c r="I80" s="115"/>
      <c r="J80" s="116"/>
      <c r="K80" s="104"/>
      <c r="L80" s="104"/>
      <c r="M80" s="104"/>
      <c r="N80" s="104"/>
      <c r="O80" s="104"/>
      <c r="P80" s="104"/>
    </row>
    <row r="81" spans="1:16" x14ac:dyDescent="0.25">
      <c r="A81" s="44" t="s">
        <v>42</v>
      </c>
      <c r="B81" s="44">
        <v>3</v>
      </c>
      <c r="C81" s="118">
        <f>45607.46+9488</f>
        <v>55095.46</v>
      </c>
      <c r="D81" s="45">
        <v>17660</v>
      </c>
      <c r="E81" s="45">
        <v>14519</v>
      </c>
      <c r="F81" s="45">
        <f>E81/9</f>
        <v>1613.2222222222222</v>
      </c>
      <c r="G81" s="45"/>
      <c r="H81" s="115">
        <f>D81*$M$81</f>
        <v>1350.99</v>
      </c>
      <c r="I81" s="115">
        <v>18260</v>
      </c>
      <c r="J81" s="116">
        <f t="shared" ref="J81:J88" si="17">I81/12</f>
        <v>1521.6666666666667</v>
      </c>
      <c r="K81" s="101" t="s">
        <v>424</v>
      </c>
      <c r="L81" s="104">
        <f>I39*7.65%</f>
        <v>18260.55</v>
      </c>
      <c r="M81" s="166">
        <v>7.6499999999999999E-2</v>
      </c>
      <c r="N81" s="104"/>
      <c r="O81" s="104"/>
      <c r="P81" s="104"/>
    </row>
    <row r="82" spans="1:16" x14ac:dyDescent="0.25">
      <c r="A82" s="44" t="s">
        <v>251</v>
      </c>
      <c r="B82" s="44">
        <v>3</v>
      </c>
      <c r="C82" s="118">
        <f>35246.51+6667</f>
        <v>41913.51</v>
      </c>
      <c r="D82" s="45">
        <v>12270</v>
      </c>
      <c r="E82" s="45">
        <v>9179</v>
      </c>
      <c r="F82" s="45">
        <f t="shared" ref="F82:F87" si="18">E82/9</f>
        <v>1019.8888888888889</v>
      </c>
      <c r="G82" s="45"/>
      <c r="H82" s="115">
        <f>D82*$M$82</f>
        <v>151670124.40000004</v>
      </c>
      <c r="I82" s="115">
        <v>9230</v>
      </c>
      <c r="J82" s="116">
        <f t="shared" si="17"/>
        <v>769.16666666666663</v>
      </c>
      <c r="K82" s="101"/>
      <c r="L82" s="104"/>
      <c r="M82" s="104">
        <f>SUM((E82+(F82*3))*1.01)</f>
        <v>12361.053333333335</v>
      </c>
      <c r="N82" s="104">
        <f>E82*0.005</f>
        <v>45.895000000000003</v>
      </c>
      <c r="O82" s="104"/>
      <c r="P82" s="104"/>
    </row>
    <row r="83" spans="1:16" x14ac:dyDescent="0.25">
      <c r="A83" s="44" t="s">
        <v>59</v>
      </c>
      <c r="B83" s="44">
        <v>3</v>
      </c>
      <c r="C83" s="118">
        <f>143970.08+35246</f>
        <v>179216.08</v>
      </c>
      <c r="D83" s="45">
        <v>69270</v>
      </c>
      <c r="E83" s="45">
        <v>73697</v>
      </c>
      <c r="F83" s="45">
        <f t="shared" si="18"/>
        <v>8188.5555555555557</v>
      </c>
      <c r="G83" s="45"/>
      <c r="H83" s="115">
        <f>D83*$M$83</f>
        <v>20781</v>
      </c>
      <c r="I83" s="115">
        <v>71610</v>
      </c>
      <c r="J83" s="116">
        <f t="shared" si="17"/>
        <v>5967.5</v>
      </c>
      <c r="K83" s="101" t="s">
        <v>421</v>
      </c>
      <c r="L83" s="104">
        <f>I39*30%</f>
        <v>71610</v>
      </c>
      <c r="M83" s="165">
        <v>0.3</v>
      </c>
      <c r="N83" s="104"/>
      <c r="O83" s="104"/>
      <c r="P83" s="104"/>
    </row>
    <row r="84" spans="1:16" x14ac:dyDescent="0.25">
      <c r="A84" s="44" t="s">
        <v>287</v>
      </c>
      <c r="B84" s="44">
        <v>3</v>
      </c>
      <c r="C84" s="118">
        <f>7649.34+39</f>
        <v>7688.34</v>
      </c>
      <c r="D84" s="45">
        <v>6460</v>
      </c>
      <c r="E84" s="45">
        <v>7749</v>
      </c>
      <c r="F84" s="45">
        <f t="shared" si="18"/>
        <v>861</v>
      </c>
      <c r="G84" s="45"/>
      <c r="H84" s="115">
        <f>D84*$O$12</f>
        <v>193.79999999999998</v>
      </c>
      <c r="I84" s="115">
        <v>7160</v>
      </c>
      <c r="J84" s="116">
        <f t="shared" si="17"/>
        <v>596.66666666666663</v>
      </c>
      <c r="K84" s="229" t="s">
        <v>545</v>
      </c>
      <c r="L84" s="104"/>
      <c r="M84" s="104">
        <f>I39*3%</f>
        <v>7161</v>
      </c>
      <c r="N84" s="104"/>
      <c r="O84" s="104"/>
      <c r="P84" s="104"/>
    </row>
    <row r="85" spans="1:16" x14ac:dyDescent="0.25">
      <c r="A85" s="44" t="s">
        <v>513</v>
      </c>
      <c r="B85" s="44"/>
      <c r="C85" s="118"/>
      <c r="D85" s="45">
        <v>90</v>
      </c>
      <c r="E85" s="45">
        <v>598</v>
      </c>
      <c r="F85" s="45">
        <f t="shared" si="18"/>
        <v>66.444444444444443</v>
      </c>
      <c r="G85" s="45"/>
      <c r="H85" s="115"/>
      <c r="I85" s="115">
        <v>700</v>
      </c>
      <c r="J85" s="116">
        <f t="shared" si="17"/>
        <v>58.333333333333336</v>
      </c>
      <c r="K85" s="104"/>
      <c r="L85" s="104"/>
      <c r="M85" s="104">
        <f t="shared" ref="M85:M86" si="19">SUM((E85+(F85*3))*1.03)</f>
        <v>821.25333333333333</v>
      </c>
      <c r="N85" s="104"/>
      <c r="O85" s="104"/>
      <c r="P85" s="104"/>
    </row>
    <row r="86" spans="1:16" x14ac:dyDescent="0.25">
      <c r="A86" s="44" t="s">
        <v>552</v>
      </c>
      <c r="B86" s="44"/>
      <c r="C86" s="118"/>
      <c r="D86" s="45">
        <v>0</v>
      </c>
      <c r="E86" s="45">
        <v>29215</v>
      </c>
      <c r="F86" s="45">
        <f t="shared" si="18"/>
        <v>3246.1111111111113</v>
      </c>
      <c r="G86" s="45"/>
      <c r="H86" s="115"/>
      <c r="I86" s="267">
        <v>0</v>
      </c>
      <c r="J86" s="116">
        <f>I86/12</f>
        <v>0</v>
      </c>
      <c r="K86" s="101" t="s">
        <v>649</v>
      </c>
      <c r="L86" s="240">
        <v>35143.666666666664</v>
      </c>
      <c r="M86" s="104">
        <f t="shared" si="19"/>
        <v>40121.933333333334</v>
      </c>
      <c r="N86" s="104"/>
      <c r="O86" s="104"/>
      <c r="P86" s="104"/>
    </row>
    <row r="87" spans="1:16" x14ac:dyDescent="0.25">
      <c r="A87" s="44" t="s">
        <v>414</v>
      </c>
      <c r="B87" s="44">
        <v>3</v>
      </c>
      <c r="C87" s="118">
        <v>111666.66666666666</v>
      </c>
      <c r="D87" s="45">
        <v>35000</v>
      </c>
      <c r="E87" s="45">
        <v>20000</v>
      </c>
      <c r="F87" s="45">
        <f t="shared" si="18"/>
        <v>2222.2222222222222</v>
      </c>
      <c r="G87" s="45"/>
      <c r="H87" s="115">
        <v>0</v>
      </c>
      <c r="I87" s="115">
        <v>35000</v>
      </c>
      <c r="J87" s="116">
        <f t="shared" si="17"/>
        <v>2916.6666666666665</v>
      </c>
      <c r="K87" s="101" t="s">
        <v>440</v>
      </c>
      <c r="L87" s="104"/>
      <c r="M87" s="104"/>
      <c r="N87" s="104"/>
      <c r="O87" s="104"/>
      <c r="P87" s="104"/>
    </row>
    <row r="88" spans="1:16" x14ac:dyDescent="0.25">
      <c r="A88" s="44" t="s">
        <v>62</v>
      </c>
      <c r="B88" s="44">
        <v>3</v>
      </c>
      <c r="C88" s="119">
        <v>139402.26</v>
      </c>
      <c r="D88" s="52">
        <v>45840</v>
      </c>
      <c r="E88" s="52">
        <v>34579</v>
      </c>
      <c r="F88" s="52">
        <f>E88/9</f>
        <v>3842.1111111111113</v>
      </c>
      <c r="G88" s="52"/>
      <c r="H88" s="142">
        <v>0</v>
      </c>
      <c r="I88" s="142">
        <v>46105</v>
      </c>
      <c r="J88" s="120">
        <f t="shared" si="17"/>
        <v>3842.0833333333335</v>
      </c>
      <c r="K88" s="101" t="s">
        <v>350</v>
      </c>
      <c r="L88" s="104"/>
      <c r="M88" s="104"/>
      <c r="N88" s="104"/>
      <c r="O88" s="104"/>
      <c r="P88" s="104"/>
    </row>
    <row r="89" spans="1:16" x14ac:dyDescent="0.25">
      <c r="A89" s="75" t="s">
        <v>85</v>
      </c>
      <c r="B89" s="44"/>
      <c r="C89" s="45">
        <f>SUM(C81:C88)</f>
        <v>534982.31666666665</v>
      </c>
      <c r="D89" s="45">
        <f t="shared" ref="D89:E89" si="20">SUM(D81:D88)</f>
        <v>186590</v>
      </c>
      <c r="E89" s="45">
        <f t="shared" si="20"/>
        <v>189536</v>
      </c>
      <c r="F89" s="45">
        <f>SUM(F81:F88)</f>
        <v>21059.555555555555</v>
      </c>
      <c r="G89" s="45"/>
      <c r="H89" s="115">
        <f>SUM(H81:H88)</f>
        <v>151692450.19000006</v>
      </c>
      <c r="I89" s="115">
        <f>SUM(I81:I88)</f>
        <v>188065</v>
      </c>
      <c r="J89" s="116">
        <f>SUM(J81:J88)</f>
        <v>15672.083333333334</v>
      </c>
      <c r="K89" s="104"/>
      <c r="L89" s="104"/>
      <c r="M89" s="104"/>
      <c r="N89" s="104"/>
      <c r="O89" s="104"/>
      <c r="P89" s="104"/>
    </row>
    <row r="90" spans="1:16" x14ac:dyDescent="0.25">
      <c r="A90" s="44"/>
      <c r="B90" s="44"/>
      <c r="C90" s="45"/>
      <c r="D90" s="45"/>
      <c r="E90" s="45"/>
      <c r="F90" s="45"/>
      <c r="G90" s="45"/>
      <c r="H90" s="115"/>
      <c r="I90" s="115"/>
      <c r="J90" s="116"/>
      <c r="K90" s="104"/>
      <c r="L90" s="104"/>
      <c r="M90" s="104"/>
      <c r="N90" s="104"/>
      <c r="O90" s="104"/>
      <c r="P90" s="104"/>
    </row>
    <row r="91" spans="1:16" x14ac:dyDescent="0.25">
      <c r="A91" s="75" t="s">
        <v>453</v>
      </c>
      <c r="B91" s="44"/>
      <c r="C91" s="45"/>
      <c r="D91" s="45"/>
      <c r="E91" s="45"/>
      <c r="F91" s="45"/>
      <c r="G91" s="45"/>
      <c r="H91" s="115"/>
      <c r="I91" s="115"/>
      <c r="J91" s="116"/>
      <c r="K91" s="104"/>
      <c r="L91" s="104"/>
      <c r="M91" s="104"/>
      <c r="N91" s="104"/>
      <c r="O91" s="104"/>
      <c r="P91" s="104"/>
    </row>
    <row r="92" spans="1:16" x14ac:dyDescent="0.25">
      <c r="A92" s="44" t="s">
        <v>256</v>
      </c>
      <c r="B92" s="44">
        <v>3</v>
      </c>
      <c r="C92" s="118">
        <v>17108</v>
      </c>
      <c r="D92" s="45">
        <v>6000</v>
      </c>
      <c r="E92" s="45">
        <v>2600</v>
      </c>
      <c r="F92" s="45">
        <f>E92/9</f>
        <v>288.88888888888891</v>
      </c>
      <c r="G92" s="45"/>
      <c r="H92" s="115">
        <v>0</v>
      </c>
      <c r="I92" s="115">
        <v>0</v>
      </c>
      <c r="J92" s="116">
        <f t="shared" ref="J92:J93" si="21">I92/12</f>
        <v>0</v>
      </c>
      <c r="K92" s="101" t="s">
        <v>419</v>
      </c>
      <c r="L92" s="104"/>
      <c r="M92" s="104"/>
      <c r="N92" s="104"/>
      <c r="O92" s="104"/>
      <c r="P92" s="104"/>
    </row>
    <row r="93" spans="1:16" x14ac:dyDescent="0.25">
      <c r="A93" s="44" t="s">
        <v>291</v>
      </c>
      <c r="B93" s="44"/>
      <c r="C93" s="118"/>
      <c r="D93" s="45">
        <v>2000</v>
      </c>
      <c r="E93" s="45">
        <v>0</v>
      </c>
      <c r="F93" s="45">
        <f>E93/9</f>
        <v>0</v>
      </c>
      <c r="G93" s="45"/>
      <c r="H93" s="115">
        <v>0</v>
      </c>
      <c r="I93" s="115">
        <v>0</v>
      </c>
      <c r="J93" s="116">
        <f t="shared" si="21"/>
        <v>0</v>
      </c>
      <c r="K93" s="101" t="s">
        <v>420</v>
      </c>
      <c r="L93" s="104"/>
      <c r="M93" s="104"/>
      <c r="N93" s="104"/>
      <c r="O93" s="104"/>
      <c r="P93" s="104"/>
    </row>
    <row r="94" spans="1:16" hidden="1" x14ac:dyDescent="0.25">
      <c r="A94" s="44" t="s">
        <v>64</v>
      </c>
      <c r="B94" s="44">
        <v>3</v>
      </c>
      <c r="C94" s="118">
        <v>689</v>
      </c>
      <c r="D94" s="45">
        <v>0</v>
      </c>
      <c r="E94" s="45">
        <f>D94/12</f>
        <v>0</v>
      </c>
      <c r="F94" s="45">
        <f t="shared" ref="F94:F95" si="22">E94/9</f>
        <v>0</v>
      </c>
      <c r="G94" s="45"/>
      <c r="H94" s="115">
        <f>D94*$M$83</f>
        <v>0</v>
      </c>
      <c r="I94" s="115">
        <f>D94+H94</f>
        <v>0</v>
      </c>
      <c r="J94" s="116">
        <f t="shared" ref="J94:J95" si="23">I94/12</f>
        <v>0</v>
      </c>
      <c r="K94" s="104"/>
      <c r="L94" s="104"/>
      <c r="M94" s="104"/>
      <c r="N94" s="104"/>
      <c r="O94" s="104"/>
      <c r="P94" s="104"/>
    </row>
    <row r="95" spans="1:16" hidden="1" x14ac:dyDescent="0.25">
      <c r="A95" s="44" t="s">
        <v>26</v>
      </c>
      <c r="B95" s="44">
        <v>3</v>
      </c>
      <c r="C95" s="118">
        <v>0</v>
      </c>
      <c r="D95" s="45">
        <v>0</v>
      </c>
      <c r="E95" s="45">
        <f>D95/12</f>
        <v>0</v>
      </c>
      <c r="F95" s="45">
        <f t="shared" si="22"/>
        <v>0</v>
      </c>
      <c r="G95" s="45"/>
      <c r="H95" s="115">
        <f>D95*$M$83</f>
        <v>0</v>
      </c>
      <c r="I95" s="115">
        <f>D95+H95</f>
        <v>0</v>
      </c>
      <c r="J95" s="116">
        <f t="shared" si="23"/>
        <v>0</v>
      </c>
      <c r="K95" s="104"/>
      <c r="L95" s="104"/>
      <c r="M95" s="104"/>
      <c r="N95" s="104"/>
      <c r="O95" s="104"/>
      <c r="P95" s="104"/>
    </row>
    <row r="96" spans="1:16" x14ac:dyDescent="0.25">
      <c r="A96" s="44" t="s">
        <v>415</v>
      </c>
      <c r="B96" s="44">
        <v>3</v>
      </c>
      <c r="C96" s="119">
        <v>9185.5</v>
      </c>
      <c r="D96" s="52">
        <v>19000</v>
      </c>
      <c r="E96" s="52">
        <v>0</v>
      </c>
      <c r="F96" s="52">
        <f>E96/9</f>
        <v>0</v>
      </c>
      <c r="G96" s="52"/>
      <c r="H96" s="142">
        <v>0</v>
      </c>
      <c r="I96" s="142">
        <f>5500+5800+3000</f>
        <v>14300</v>
      </c>
      <c r="J96" s="120">
        <f t="shared" ref="J96" si="24">I96/12</f>
        <v>1191.6666666666667</v>
      </c>
      <c r="K96" s="101" t="s">
        <v>615</v>
      </c>
      <c r="L96" s="104"/>
      <c r="M96" s="104"/>
      <c r="N96" s="104"/>
      <c r="O96" s="104"/>
      <c r="P96" s="104"/>
    </row>
    <row r="97" spans="1:16" ht="15.75" thickBot="1" x14ac:dyDescent="0.3">
      <c r="A97" s="75" t="s">
        <v>314</v>
      </c>
      <c r="B97" s="44"/>
      <c r="C97" s="45">
        <f>SUM(C94:C96)</f>
        <v>9874.5</v>
      </c>
      <c r="D97" s="45">
        <f>SUM(D92:D96)</f>
        <v>27000</v>
      </c>
      <c r="E97" s="45">
        <f>SUM(E92:E96)</f>
        <v>2600</v>
      </c>
      <c r="F97" s="45">
        <f>SUM(F92:F96)</f>
        <v>288.88888888888891</v>
      </c>
      <c r="G97" s="45"/>
      <c r="H97" s="143">
        <f>SUM(H92:H96)</f>
        <v>0</v>
      </c>
      <c r="I97" s="97">
        <f>SUM(I92:I96)</f>
        <v>14300</v>
      </c>
      <c r="J97" s="98">
        <f>SUM(J92:J96)</f>
        <v>1191.6666666666667</v>
      </c>
      <c r="K97" s="101"/>
      <c r="L97" s="104"/>
      <c r="M97" s="104"/>
      <c r="N97" s="104"/>
      <c r="O97" s="104"/>
      <c r="P97" s="104"/>
    </row>
    <row r="98" spans="1:16" x14ac:dyDescent="0.25">
      <c r="A98" s="44"/>
      <c r="B98" s="44"/>
      <c r="C98" s="44"/>
      <c r="D98" s="44"/>
      <c r="E98" s="44"/>
      <c r="F98" s="44"/>
      <c r="G98" s="44"/>
      <c r="H98" s="104"/>
      <c r="I98" s="104"/>
      <c r="J98" s="104"/>
      <c r="K98" s="104"/>
      <c r="L98" s="104"/>
      <c r="M98" s="104"/>
      <c r="N98" s="104"/>
      <c r="O98" s="104"/>
      <c r="P98" s="104"/>
    </row>
  </sheetData>
  <customSheetViews>
    <customSheetView guid="{D54A66AC-88E3-46FB-AFE3-2E559F565FEB}" scale="80" hiddenRows="1" hiddenColumns="1">
      <pane xSplit="2" ySplit="4" topLeftCell="D5" activePane="bottomRight" state="frozen"/>
      <selection pane="bottomRight" activeCell="I21" sqref="I21"/>
      <pageMargins left="0.75" right="0.75" top="1" bottom="1" header="0.5" footer="0.5"/>
      <pageSetup scale="45" fitToHeight="2" orientation="portrait" r:id="rId1"/>
      <headerFooter alignWithMargins="0"/>
    </customSheetView>
  </customSheetViews>
  <pageMargins left="0.75" right="0.75" top="1" bottom="1" header="0.5" footer="0.5"/>
  <pageSetup scale="45" fitToHeight="2" orientation="portrait" r:id="rId2"/>
  <headerFooter alignWithMargins="0"/>
  <ignoredErrors>
    <ignoredError sqref="M7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9"/>
  <sheetViews>
    <sheetView topLeftCell="A20" zoomScale="90" zoomScaleNormal="90" workbookViewId="0">
      <selection activeCell="L20" sqref="L1:N1048576"/>
    </sheetView>
  </sheetViews>
  <sheetFormatPr defaultRowHeight="15" x14ac:dyDescent="0.25"/>
  <cols>
    <col min="1" max="1" width="51" bestFit="1" customWidth="1"/>
    <col min="2" max="2" width="9.140625" hidden="1" customWidth="1"/>
    <col min="3" max="3" width="12.7109375" hidden="1" customWidth="1"/>
    <col min="4" max="4" width="16.42578125" customWidth="1"/>
    <col min="5" max="5" width="16.140625" bestFit="1" customWidth="1"/>
    <col min="6" max="6" width="16.140625" customWidth="1"/>
    <col min="7" max="7" width="0" hidden="1" customWidth="1"/>
    <col min="8" max="8" width="3.28515625" customWidth="1"/>
    <col min="9" max="9" width="24.5703125" customWidth="1"/>
    <col min="10" max="10" width="12.85546875" bestFit="1" customWidth="1"/>
    <col min="11" max="11" width="45.140625" customWidth="1"/>
    <col min="12" max="14" width="0" hidden="1" customWidth="1"/>
  </cols>
  <sheetData>
    <row r="1" spans="1:13" ht="18.75" x14ac:dyDescent="0.3">
      <c r="A1" s="104"/>
      <c r="B1" s="104"/>
      <c r="C1" s="104"/>
      <c r="D1" s="104"/>
      <c r="E1" s="104"/>
      <c r="F1" s="104"/>
      <c r="G1" s="124"/>
      <c r="H1" s="128"/>
      <c r="I1" s="124" t="str">
        <f>Rehab!I1</f>
        <v>Projected Annual Budget 2017</v>
      </c>
      <c r="J1" s="125"/>
      <c r="K1" s="108"/>
    </row>
    <row r="2" spans="1:13" ht="15.75" thickBot="1" x14ac:dyDescent="0.3">
      <c r="A2" s="104"/>
      <c r="B2" s="104"/>
      <c r="C2" s="104"/>
      <c r="D2" s="104"/>
      <c r="E2" s="104"/>
      <c r="F2" s="104"/>
      <c r="G2" s="100"/>
      <c r="H2" s="129"/>
      <c r="I2" s="130" t="s">
        <v>391</v>
      </c>
      <c r="J2" s="131"/>
      <c r="K2" s="102"/>
    </row>
    <row r="3" spans="1:13" ht="21" thickBot="1" x14ac:dyDescent="0.35">
      <c r="A3" s="99" t="s">
        <v>656</v>
      </c>
      <c r="B3" s="104"/>
      <c r="C3" s="104"/>
      <c r="D3" s="109"/>
      <c r="E3" s="104"/>
      <c r="F3" s="104"/>
      <c r="G3" s="104"/>
      <c r="H3" s="41"/>
      <c r="I3" s="111"/>
      <c r="J3" s="95"/>
      <c r="K3" s="102"/>
    </row>
    <row r="4" spans="1:13" s="29" customFormat="1" ht="30.75" thickBot="1" x14ac:dyDescent="0.3">
      <c r="A4" s="39" t="s">
        <v>71</v>
      </c>
      <c r="B4" s="39" t="s">
        <v>72</v>
      </c>
      <c r="C4" s="39" t="s">
        <v>73</v>
      </c>
      <c r="D4" s="40" t="str">
        <f>Rehab!D4</f>
        <v>2016 Annual Budget</v>
      </c>
      <c r="E4" s="40" t="str">
        <f>Rehab!E4</f>
        <v>YTD Actual FY 2016 @ 9/30/16</v>
      </c>
      <c r="F4" s="40" t="str">
        <f>Rehab!F4</f>
        <v>FY 2016 - 9 month Avg</v>
      </c>
      <c r="G4" s="111"/>
      <c r="H4" s="41"/>
      <c r="I4" s="42" t="s">
        <v>427</v>
      </c>
      <c r="J4" s="43" t="s">
        <v>428</v>
      </c>
      <c r="K4" s="133"/>
      <c r="L4" s="37"/>
    </row>
    <row r="5" spans="1:13" x14ac:dyDescent="0.25">
      <c r="A5" s="44" t="s">
        <v>35</v>
      </c>
      <c r="B5" s="44">
        <v>3</v>
      </c>
      <c r="C5" s="45">
        <v>-5549.9166666666661</v>
      </c>
      <c r="D5" s="46">
        <v>2000</v>
      </c>
      <c r="E5" s="46">
        <v>352</v>
      </c>
      <c r="F5" s="46">
        <f>E5/9</f>
        <v>39.111111111111114</v>
      </c>
      <c r="G5" s="134">
        <f>D5*$M$6</f>
        <v>60</v>
      </c>
      <c r="H5" s="46"/>
      <c r="I5" s="135">
        <v>2000</v>
      </c>
      <c r="J5" s="58">
        <f t="shared" ref="J5:J11" si="0">I5/12</f>
        <v>166.66666666666666</v>
      </c>
      <c r="K5" s="104"/>
    </row>
    <row r="6" spans="1:13" x14ac:dyDescent="0.25">
      <c r="A6" s="44" t="s">
        <v>379</v>
      </c>
      <c r="B6" s="44">
        <v>3</v>
      </c>
      <c r="C6" s="45">
        <v>-2519884.666666667</v>
      </c>
      <c r="D6" s="46">
        <v>875000</v>
      </c>
      <c r="E6" s="46">
        <v>749419</v>
      </c>
      <c r="F6" s="46">
        <f t="shared" ref="F6:F10" si="1">E6/9</f>
        <v>83268.777777777781</v>
      </c>
      <c r="G6" s="57">
        <v>0</v>
      </c>
      <c r="H6" s="46"/>
      <c r="I6" s="135">
        <v>999750</v>
      </c>
      <c r="J6" s="58">
        <f t="shared" si="0"/>
        <v>83312.5</v>
      </c>
      <c r="K6" s="136" t="s">
        <v>617</v>
      </c>
      <c r="M6" s="23">
        <v>0.03</v>
      </c>
    </row>
    <row r="7" spans="1:13" x14ac:dyDescent="0.25">
      <c r="A7" s="44" t="s">
        <v>380</v>
      </c>
      <c r="B7" s="44">
        <v>3</v>
      </c>
      <c r="C7" s="45">
        <v>-29246175.333333336</v>
      </c>
      <c r="D7" s="46">
        <v>10102480</v>
      </c>
      <c r="E7" s="46">
        <v>8318947</v>
      </c>
      <c r="F7" s="46">
        <f t="shared" si="1"/>
        <v>924327.4444444445</v>
      </c>
      <c r="G7" s="57">
        <v>0</v>
      </c>
      <c r="H7" s="46"/>
      <c r="I7" s="135">
        <f>11232530+100000</f>
        <v>11332530</v>
      </c>
      <c r="J7" s="58">
        <f t="shared" si="0"/>
        <v>944377.5</v>
      </c>
      <c r="K7" s="136" t="s">
        <v>632</v>
      </c>
    </row>
    <row r="8" spans="1:13" x14ac:dyDescent="0.25">
      <c r="A8" s="44" t="s">
        <v>514</v>
      </c>
      <c r="B8" s="44"/>
      <c r="C8" s="45"/>
      <c r="D8" s="46">
        <v>241410</v>
      </c>
      <c r="E8" s="46">
        <v>271586</v>
      </c>
      <c r="F8" s="46">
        <f t="shared" si="1"/>
        <v>30176.222222222223</v>
      </c>
      <c r="G8" s="57"/>
      <c r="H8" s="46"/>
      <c r="I8" s="135">
        <v>0</v>
      </c>
      <c r="J8" s="58">
        <f t="shared" si="0"/>
        <v>0</v>
      </c>
      <c r="K8" s="136" t="s">
        <v>553</v>
      </c>
    </row>
    <row r="9" spans="1:13" hidden="1" x14ac:dyDescent="0.25">
      <c r="A9" s="44" t="s">
        <v>381</v>
      </c>
      <c r="B9" s="44">
        <v>3</v>
      </c>
      <c r="C9" s="45">
        <v>-39972.666666666672</v>
      </c>
      <c r="D9" s="46">
        <v>0</v>
      </c>
      <c r="E9" s="46">
        <f t="shared" ref="E9" si="2">D9/12</f>
        <v>0</v>
      </c>
      <c r="F9" s="46">
        <f t="shared" si="1"/>
        <v>0</v>
      </c>
      <c r="G9" s="57">
        <f>D9*$M$6</f>
        <v>0</v>
      </c>
      <c r="H9" s="46"/>
      <c r="I9" s="135">
        <v>0</v>
      </c>
      <c r="J9" s="58">
        <f t="shared" si="0"/>
        <v>0</v>
      </c>
      <c r="K9" s="104"/>
    </row>
    <row r="10" spans="1:13" x14ac:dyDescent="0.25">
      <c r="A10" s="44" t="s">
        <v>239</v>
      </c>
      <c r="B10" s="44">
        <v>3</v>
      </c>
      <c r="C10" s="45">
        <v>-11351.703333333335</v>
      </c>
      <c r="D10" s="46">
        <v>4800</v>
      </c>
      <c r="E10" s="46">
        <v>205</v>
      </c>
      <c r="F10" s="46">
        <f t="shared" si="1"/>
        <v>22.777777777777779</v>
      </c>
      <c r="G10" s="57">
        <f>D10*$M$6</f>
        <v>144</v>
      </c>
      <c r="H10" s="46"/>
      <c r="I10" s="135">
        <v>4800</v>
      </c>
      <c r="J10" s="58">
        <f t="shared" si="0"/>
        <v>400</v>
      </c>
      <c r="K10" s="136"/>
    </row>
    <row r="11" spans="1:13" x14ac:dyDescent="0.25">
      <c r="A11" s="44" t="s">
        <v>382</v>
      </c>
      <c r="B11" s="44">
        <v>3</v>
      </c>
      <c r="C11" s="52">
        <v>0</v>
      </c>
      <c r="D11" s="53">
        <v>200</v>
      </c>
      <c r="E11" s="53">
        <v>0</v>
      </c>
      <c r="F11" s="53">
        <f>E11/9</f>
        <v>0</v>
      </c>
      <c r="G11" s="137">
        <f>D11*$M$6</f>
        <v>6</v>
      </c>
      <c r="H11" s="53"/>
      <c r="I11" s="138">
        <v>200</v>
      </c>
      <c r="J11" s="139">
        <f t="shared" si="0"/>
        <v>16.666666666666668</v>
      </c>
      <c r="K11" s="104"/>
    </row>
    <row r="12" spans="1:13" x14ac:dyDescent="0.25">
      <c r="A12" s="75" t="s">
        <v>75</v>
      </c>
      <c r="B12" s="44"/>
      <c r="C12" s="45">
        <f>SUM(C5:C11)</f>
        <v>-31822934.286666669</v>
      </c>
      <c r="D12" s="46">
        <f>SUM(D5:D11)</f>
        <v>11225890</v>
      </c>
      <c r="E12" s="46">
        <f>SUM(E5:E11)</f>
        <v>9340509</v>
      </c>
      <c r="F12" s="46">
        <f>SUM(F5:F11)</f>
        <v>1037834.3333333334</v>
      </c>
      <c r="G12" s="57">
        <f>SUM(G3:G11)</f>
        <v>210</v>
      </c>
      <c r="H12" s="46"/>
      <c r="I12" s="57">
        <f>SUM(I5:I11)</f>
        <v>12339280</v>
      </c>
      <c r="J12" s="58">
        <f>SUM(J3:J11)</f>
        <v>1028273.3333333333</v>
      </c>
      <c r="K12" s="104"/>
    </row>
    <row r="13" spans="1:13" x14ac:dyDescent="0.25">
      <c r="A13" s="44"/>
      <c r="B13" s="44"/>
      <c r="C13" s="45"/>
      <c r="D13" s="46"/>
      <c r="E13" s="46"/>
      <c r="F13" s="46"/>
      <c r="G13" s="57"/>
      <c r="H13" s="46"/>
      <c r="I13" s="57"/>
      <c r="J13" s="58"/>
      <c r="K13" s="104"/>
    </row>
    <row r="14" spans="1:13" x14ac:dyDescent="0.25">
      <c r="A14" s="44"/>
      <c r="B14" s="44"/>
      <c r="C14" s="45"/>
      <c r="D14" s="46"/>
      <c r="E14" s="46"/>
      <c r="F14" s="46"/>
      <c r="G14" s="57"/>
      <c r="H14" s="46"/>
      <c r="I14" s="57"/>
      <c r="J14" s="58"/>
      <c r="K14" s="106"/>
    </row>
    <row r="15" spans="1:13" x14ac:dyDescent="0.25">
      <c r="A15" s="44" t="s">
        <v>76</v>
      </c>
      <c r="B15" s="44"/>
      <c r="C15" s="45">
        <f>C41</f>
        <v>1811301.95</v>
      </c>
      <c r="D15" s="46">
        <f>-D41</f>
        <v>-647260</v>
      </c>
      <c r="E15" s="46">
        <f>-E41</f>
        <v>-535314</v>
      </c>
      <c r="F15" s="46">
        <f>E15/9</f>
        <v>-59479.333333333336</v>
      </c>
      <c r="G15" s="57">
        <f>G41</f>
        <v>16534.3</v>
      </c>
      <c r="H15" s="46"/>
      <c r="I15" s="57">
        <f>-I41</f>
        <v>-700810</v>
      </c>
      <c r="J15" s="58">
        <f>-J41</f>
        <v>-58400.833333333314</v>
      </c>
      <c r="K15" s="104"/>
    </row>
    <row r="16" spans="1:13" x14ac:dyDescent="0.25">
      <c r="A16" s="44" t="s">
        <v>77</v>
      </c>
      <c r="B16" s="44"/>
      <c r="C16" s="45">
        <f>C49</f>
        <v>447483.27666666673</v>
      </c>
      <c r="D16" s="46">
        <f>-D49</f>
        <v>-206775</v>
      </c>
      <c r="E16" s="46">
        <f>-E49</f>
        <v>-146611</v>
      </c>
      <c r="F16" s="46">
        <f t="shared" ref="F16:F17" si="3">E16/9</f>
        <v>-16290.111111111111</v>
      </c>
      <c r="G16" s="57">
        <f>G49</f>
        <v>565.94999999999993</v>
      </c>
      <c r="H16" s="46"/>
      <c r="I16" s="57">
        <f>-I49</f>
        <v>-244770</v>
      </c>
      <c r="J16" s="58">
        <f>-J49</f>
        <v>-20397.5</v>
      </c>
      <c r="K16" s="101"/>
    </row>
    <row r="17" spans="1:12" x14ac:dyDescent="0.25">
      <c r="A17" s="44" t="s">
        <v>383</v>
      </c>
      <c r="B17" s="44"/>
      <c r="C17" s="45">
        <f>C53</f>
        <v>30269456.326666668</v>
      </c>
      <c r="D17" s="46">
        <f>-D51</f>
        <v>-10343890</v>
      </c>
      <c r="E17" s="46">
        <f>-E51</f>
        <v>-8405109</v>
      </c>
      <c r="F17" s="46">
        <f t="shared" si="3"/>
        <v>-933901</v>
      </c>
      <c r="G17" s="57">
        <f t="shared" ref="D17:J18" si="4">G51</f>
        <v>0</v>
      </c>
      <c r="H17" s="46"/>
      <c r="I17" s="57">
        <f>-I51</f>
        <v>-11332530</v>
      </c>
      <c r="J17" s="58">
        <f>-J51</f>
        <v>-944377.5</v>
      </c>
      <c r="K17" s="101"/>
    </row>
    <row r="18" spans="1:12" x14ac:dyDescent="0.25">
      <c r="A18" s="44" t="s">
        <v>423</v>
      </c>
      <c r="B18" s="44"/>
      <c r="C18" s="45"/>
      <c r="D18" s="46">
        <f t="shared" si="4"/>
        <v>0</v>
      </c>
      <c r="E18" s="46">
        <f>-E52</f>
        <v>0</v>
      </c>
      <c r="F18" s="46">
        <f>E18/9</f>
        <v>0</v>
      </c>
      <c r="G18" s="57">
        <f t="shared" si="4"/>
        <v>0</v>
      </c>
      <c r="H18" s="46"/>
      <c r="I18" s="57">
        <f t="shared" si="4"/>
        <v>0</v>
      </c>
      <c r="J18" s="58">
        <f t="shared" si="4"/>
        <v>0</v>
      </c>
      <c r="K18" s="101"/>
    </row>
    <row r="19" spans="1:12" x14ac:dyDescent="0.25">
      <c r="A19" s="44" t="s">
        <v>79</v>
      </c>
      <c r="B19" s="44"/>
      <c r="C19" s="52">
        <f t="shared" ref="C19:G19" si="5">C58</f>
        <v>1535</v>
      </c>
      <c r="D19" s="53">
        <f>-D58</f>
        <v>-30000</v>
      </c>
      <c r="E19" s="53">
        <f>-E58</f>
        <v>-2891</v>
      </c>
      <c r="F19" s="53">
        <f>E19/9</f>
        <v>-321.22222222222223</v>
      </c>
      <c r="G19" s="137">
        <f t="shared" si="5"/>
        <v>0</v>
      </c>
      <c r="H19" s="53"/>
      <c r="I19" s="137">
        <f>-I58</f>
        <v>-37200</v>
      </c>
      <c r="J19" s="139">
        <f>-J58</f>
        <v>-3100</v>
      </c>
      <c r="K19" s="106"/>
    </row>
    <row r="20" spans="1:12" x14ac:dyDescent="0.25">
      <c r="A20" s="44" t="s">
        <v>80</v>
      </c>
      <c r="B20" s="44"/>
      <c r="C20" s="140">
        <f t="shared" ref="C20:J20" si="6">SUM(C15:C19)</f>
        <v>32529776.553333335</v>
      </c>
      <c r="D20" s="141">
        <f t="shared" si="6"/>
        <v>-11227925</v>
      </c>
      <c r="E20" s="141">
        <f t="shared" si="6"/>
        <v>-9089925</v>
      </c>
      <c r="F20" s="53">
        <f>SUM(F15:F19)</f>
        <v>-1009991.6666666667</v>
      </c>
      <c r="G20" s="137">
        <f t="shared" si="6"/>
        <v>17100.25</v>
      </c>
      <c r="H20" s="53"/>
      <c r="I20" s="137">
        <f t="shared" si="6"/>
        <v>-12315310</v>
      </c>
      <c r="J20" s="139">
        <f t="shared" si="6"/>
        <v>-1026275.8333333333</v>
      </c>
      <c r="K20" s="106"/>
    </row>
    <row r="21" spans="1:12" ht="15.75" thickBot="1" x14ac:dyDescent="0.3">
      <c r="A21" s="44"/>
      <c r="B21" s="44"/>
      <c r="C21" s="45"/>
      <c r="D21" s="46"/>
      <c r="E21" s="46"/>
      <c r="F21" s="46"/>
      <c r="G21" s="57"/>
      <c r="H21" s="46"/>
      <c r="I21" s="57"/>
      <c r="J21" s="58"/>
      <c r="K21" s="106"/>
    </row>
    <row r="22" spans="1:12" ht="15.75" thickBot="1" x14ac:dyDescent="0.3">
      <c r="A22" s="260" t="s">
        <v>550</v>
      </c>
      <c r="B22" s="122"/>
      <c r="C22" s="123">
        <f t="shared" ref="C22:G22" si="7">SUM(-C12-C20)</f>
        <v>-706842.26666666567</v>
      </c>
      <c r="D22" s="72">
        <f>SUM(D12+D20)+D48</f>
        <v>3975</v>
      </c>
      <c r="E22" s="72">
        <f t="shared" ref="E22:F22" si="8">SUM(E12+E20)+E48</f>
        <v>256543</v>
      </c>
      <c r="F22" s="72">
        <f t="shared" si="8"/>
        <v>28504.777777777737</v>
      </c>
      <c r="G22" s="73">
        <f t="shared" si="7"/>
        <v>-17310.25</v>
      </c>
      <c r="H22" s="72"/>
      <c r="I22" s="73">
        <f>SUM(I12+I20)+I48</f>
        <v>27670</v>
      </c>
      <c r="J22" s="74">
        <f>SUM(J12+J20)+J48</f>
        <v>2305.8333333333335</v>
      </c>
      <c r="K22" s="106"/>
    </row>
    <row r="23" spans="1:12" x14ac:dyDescent="0.25">
      <c r="A23" s="75"/>
      <c r="B23" s="44"/>
      <c r="C23" s="45"/>
      <c r="D23" s="45"/>
      <c r="E23" s="45"/>
      <c r="F23" s="45"/>
      <c r="G23" s="115"/>
      <c r="H23" s="45"/>
      <c r="I23" s="115"/>
      <c r="J23" s="116"/>
      <c r="K23" s="106"/>
    </row>
    <row r="24" spans="1:12" x14ac:dyDescent="0.25">
      <c r="A24" s="44" t="s">
        <v>38</v>
      </c>
      <c r="B24" s="44">
        <v>3</v>
      </c>
      <c r="C24" s="45">
        <f>3107-2815</f>
        <v>292</v>
      </c>
      <c r="D24" s="45">
        <v>100</v>
      </c>
      <c r="E24" s="45">
        <v>798</v>
      </c>
      <c r="F24" s="45">
        <f>E24/9</f>
        <v>88.666666666666671</v>
      </c>
      <c r="G24" s="115">
        <f t="shared" ref="G24:G36" si="9">D24*$M$6</f>
        <v>3</v>
      </c>
      <c r="H24" s="45"/>
      <c r="I24" s="115">
        <v>1070</v>
      </c>
      <c r="J24" s="116">
        <f t="shared" ref="J24:J40" si="10">I24/12</f>
        <v>89.166666666666671</v>
      </c>
      <c r="K24" s="104"/>
      <c r="L24">
        <f t="shared" ref="L24:L40" si="11">SUM(E24)+(F24*3)*1.03</f>
        <v>1071.98</v>
      </c>
    </row>
    <row r="25" spans="1:12" x14ac:dyDescent="0.25">
      <c r="A25" s="44" t="s">
        <v>39</v>
      </c>
      <c r="B25" s="44">
        <v>3</v>
      </c>
      <c r="C25" s="45">
        <f>1454870.73-147685</f>
        <v>1307185.73</v>
      </c>
      <c r="D25" s="45">
        <v>482040</v>
      </c>
      <c r="E25" s="45">
        <v>377269</v>
      </c>
      <c r="F25" s="45">
        <f t="shared" ref="F25:F39" si="12">E25/9</f>
        <v>41918.777777777781</v>
      </c>
      <c r="G25" s="115">
        <f t="shared" si="9"/>
        <v>14461.199999999999</v>
      </c>
      <c r="H25" s="45"/>
      <c r="I25" s="115">
        <f>506800+46000+6000</f>
        <v>558800</v>
      </c>
      <c r="J25" s="116">
        <f t="shared" si="10"/>
        <v>46566.666666666664</v>
      </c>
      <c r="K25" s="101" t="s">
        <v>623</v>
      </c>
      <c r="L25">
        <f t="shared" si="11"/>
        <v>506798.02333333332</v>
      </c>
    </row>
    <row r="26" spans="1:12" x14ac:dyDescent="0.25">
      <c r="A26" s="44" t="s">
        <v>326</v>
      </c>
      <c r="B26" s="44">
        <v>3</v>
      </c>
      <c r="C26" s="45">
        <f>82948.43+8333</f>
        <v>91281.43</v>
      </c>
      <c r="D26" s="45">
        <v>29340</v>
      </c>
      <c r="E26" s="45">
        <v>27063</v>
      </c>
      <c r="F26" s="45">
        <f t="shared" si="12"/>
        <v>3007</v>
      </c>
      <c r="G26" s="115">
        <f t="shared" si="9"/>
        <v>880.19999999999993</v>
      </c>
      <c r="H26" s="45"/>
      <c r="I26" s="115">
        <v>36350</v>
      </c>
      <c r="J26" s="116">
        <f t="shared" si="10"/>
        <v>3029.1666666666665</v>
      </c>
      <c r="K26" s="104"/>
      <c r="L26">
        <f t="shared" si="11"/>
        <v>36354.630000000005</v>
      </c>
    </row>
    <row r="27" spans="1:12" x14ac:dyDescent="0.25">
      <c r="A27" s="44" t="s">
        <v>41</v>
      </c>
      <c r="B27" s="44">
        <v>3</v>
      </c>
      <c r="C27" s="45">
        <f>33880.19+4041</f>
        <v>37921.19</v>
      </c>
      <c r="D27" s="45">
        <v>14200</v>
      </c>
      <c r="E27" s="45">
        <v>9487</v>
      </c>
      <c r="F27" s="45">
        <f t="shared" si="12"/>
        <v>1054.1111111111111</v>
      </c>
      <c r="G27" s="115">
        <f t="shared" si="9"/>
        <v>426</v>
      </c>
      <c r="H27" s="45"/>
      <c r="I27" s="115">
        <v>12740</v>
      </c>
      <c r="J27" s="116">
        <f t="shared" si="10"/>
        <v>1061.6666666666667</v>
      </c>
      <c r="K27" s="104"/>
      <c r="L27">
        <f t="shared" si="11"/>
        <v>12744.203333333333</v>
      </c>
    </row>
    <row r="28" spans="1:12" x14ac:dyDescent="0.25">
      <c r="A28" s="44" t="s">
        <v>242</v>
      </c>
      <c r="B28" s="44">
        <v>3</v>
      </c>
      <c r="C28" s="45">
        <f>61+230</f>
        <v>291</v>
      </c>
      <c r="D28" s="45">
        <v>100</v>
      </c>
      <c r="E28" s="45">
        <v>0</v>
      </c>
      <c r="F28" s="45">
        <f t="shared" si="12"/>
        <v>0</v>
      </c>
      <c r="G28" s="115">
        <v>46</v>
      </c>
      <c r="H28" s="45"/>
      <c r="I28" s="115">
        <v>100</v>
      </c>
      <c r="J28" s="116">
        <f t="shared" si="10"/>
        <v>8.3333333333333339</v>
      </c>
      <c r="K28" s="104"/>
      <c r="L28">
        <f t="shared" si="11"/>
        <v>0</v>
      </c>
    </row>
    <row r="29" spans="1:12" x14ac:dyDescent="0.25">
      <c r="A29" s="44" t="s">
        <v>429</v>
      </c>
      <c r="B29" s="44">
        <v>3</v>
      </c>
      <c r="C29" s="45">
        <f>2312.37+4533</f>
        <v>6845.37</v>
      </c>
      <c r="D29" s="45">
        <v>3510</v>
      </c>
      <c r="E29" s="45">
        <v>4620</v>
      </c>
      <c r="F29" s="45">
        <f t="shared" si="12"/>
        <v>513.33333333333337</v>
      </c>
      <c r="G29" s="115">
        <f t="shared" si="9"/>
        <v>105.3</v>
      </c>
      <c r="H29" s="45"/>
      <c r="I29" s="115">
        <v>6210</v>
      </c>
      <c r="J29" s="116">
        <f t="shared" si="10"/>
        <v>517.5</v>
      </c>
      <c r="K29" s="104"/>
      <c r="L29">
        <f t="shared" si="11"/>
        <v>6206.2</v>
      </c>
    </row>
    <row r="30" spans="1:12" x14ac:dyDescent="0.25">
      <c r="A30" s="44" t="s">
        <v>298</v>
      </c>
      <c r="B30" s="44">
        <v>3</v>
      </c>
      <c r="C30" s="45">
        <f>173+497</f>
        <v>670</v>
      </c>
      <c r="D30" s="45">
        <v>230</v>
      </c>
      <c r="E30" s="45">
        <v>0</v>
      </c>
      <c r="F30" s="45">
        <f t="shared" si="12"/>
        <v>0</v>
      </c>
      <c r="G30" s="115">
        <f t="shared" si="9"/>
        <v>6.8999999999999995</v>
      </c>
      <c r="H30" s="45"/>
      <c r="I30" s="115">
        <v>230</v>
      </c>
      <c r="J30" s="116">
        <f t="shared" si="10"/>
        <v>19.166666666666668</v>
      </c>
      <c r="K30" s="104"/>
      <c r="L30">
        <f t="shared" si="11"/>
        <v>0</v>
      </c>
    </row>
    <row r="31" spans="1:12" x14ac:dyDescent="0.25">
      <c r="A31" s="44" t="s">
        <v>515</v>
      </c>
      <c r="B31" s="44">
        <v>3</v>
      </c>
      <c r="C31" s="45">
        <f>2434+4789</f>
        <v>7223</v>
      </c>
      <c r="D31" s="45">
        <v>3000</v>
      </c>
      <c r="E31" s="45">
        <v>1267</v>
      </c>
      <c r="F31" s="45">
        <f t="shared" si="12"/>
        <v>140.77777777777777</v>
      </c>
      <c r="G31" s="115">
        <f t="shared" si="9"/>
        <v>90</v>
      </c>
      <c r="H31" s="45"/>
      <c r="I31" s="115">
        <v>1700</v>
      </c>
      <c r="J31" s="116">
        <f t="shared" si="10"/>
        <v>141.66666666666666</v>
      </c>
      <c r="K31" s="104"/>
      <c r="L31">
        <f t="shared" si="11"/>
        <v>1702.0033333333333</v>
      </c>
    </row>
    <row r="32" spans="1:12" x14ac:dyDescent="0.25">
      <c r="A32" s="44" t="s">
        <v>244</v>
      </c>
      <c r="B32" s="44">
        <v>3</v>
      </c>
      <c r="C32" s="45">
        <f>34414.62+6653</f>
        <v>41067.620000000003</v>
      </c>
      <c r="D32" s="45">
        <v>4960</v>
      </c>
      <c r="E32" s="45">
        <v>0</v>
      </c>
      <c r="F32" s="45">
        <f t="shared" si="12"/>
        <v>0</v>
      </c>
      <c r="G32" s="115">
        <f t="shared" si="9"/>
        <v>148.79999999999998</v>
      </c>
      <c r="H32" s="45"/>
      <c r="I32" s="115">
        <v>2000</v>
      </c>
      <c r="J32" s="116">
        <f t="shared" si="10"/>
        <v>166.66666666666666</v>
      </c>
      <c r="K32" s="104"/>
      <c r="L32">
        <f t="shared" si="11"/>
        <v>0</v>
      </c>
    </row>
    <row r="33" spans="1:13" x14ac:dyDescent="0.25">
      <c r="A33" s="44" t="s">
        <v>384</v>
      </c>
      <c r="B33" s="44">
        <v>3</v>
      </c>
      <c r="C33" s="45">
        <f>32173.08-14871</f>
        <v>17302.080000000002</v>
      </c>
      <c r="D33" s="45">
        <v>5640</v>
      </c>
      <c r="E33" s="45">
        <v>7534</v>
      </c>
      <c r="F33" s="45">
        <f t="shared" si="12"/>
        <v>837.11111111111109</v>
      </c>
      <c r="G33" s="115">
        <f t="shared" si="9"/>
        <v>169.2</v>
      </c>
      <c r="H33" s="45"/>
      <c r="I33" s="115">
        <v>10120</v>
      </c>
      <c r="J33" s="116">
        <f t="shared" si="10"/>
        <v>843.33333333333337</v>
      </c>
      <c r="K33" s="104"/>
      <c r="L33">
        <f t="shared" si="11"/>
        <v>10120.673333333332</v>
      </c>
    </row>
    <row r="34" spans="1:13" x14ac:dyDescent="0.25">
      <c r="A34" s="44" t="s">
        <v>44</v>
      </c>
      <c r="B34" s="44">
        <v>3</v>
      </c>
      <c r="C34" s="45">
        <v>15233</v>
      </c>
      <c r="D34" s="45">
        <v>1890</v>
      </c>
      <c r="E34" s="45">
        <v>894</v>
      </c>
      <c r="F34" s="45">
        <f t="shared" si="12"/>
        <v>99.333333333333329</v>
      </c>
      <c r="G34" s="115">
        <f t="shared" si="9"/>
        <v>56.699999999999996</v>
      </c>
      <c r="H34" s="45"/>
      <c r="I34" s="115">
        <v>1200</v>
      </c>
      <c r="J34" s="116">
        <f t="shared" si="10"/>
        <v>100</v>
      </c>
      <c r="K34" s="104"/>
      <c r="L34">
        <f t="shared" si="11"/>
        <v>1200.94</v>
      </c>
    </row>
    <row r="35" spans="1:13" x14ac:dyDescent="0.25">
      <c r="A35" s="44" t="s">
        <v>331</v>
      </c>
      <c r="B35" s="44">
        <v>3</v>
      </c>
      <c r="C35" s="45">
        <f>6915.9+6073</f>
        <v>12988.9</v>
      </c>
      <c r="D35" s="45">
        <v>2050</v>
      </c>
      <c r="E35" s="45">
        <v>725</v>
      </c>
      <c r="F35" s="45">
        <f t="shared" si="12"/>
        <v>80.555555555555557</v>
      </c>
      <c r="G35" s="115">
        <f t="shared" si="9"/>
        <v>61.5</v>
      </c>
      <c r="H35" s="45"/>
      <c r="I35" s="115">
        <v>980</v>
      </c>
      <c r="J35" s="116">
        <f t="shared" si="10"/>
        <v>81.666666666666671</v>
      </c>
      <c r="K35" s="104"/>
      <c r="L35">
        <f t="shared" si="11"/>
        <v>973.91666666666674</v>
      </c>
    </row>
    <row r="36" spans="1:13" x14ac:dyDescent="0.25">
      <c r="A36" s="44" t="s">
        <v>332</v>
      </c>
      <c r="B36" s="44">
        <v>3</v>
      </c>
      <c r="C36" s="45">
        <f>6875.63-61</f>
        <v>6814.63</v>
      </c>
      <c r="D36" s="45">
        <v>2650</v>
      </c>
      <c r="E36" s="45">
        <v>1427</v>
      </c>
      <c r="F36" s="45">
        <f t="shared" si="12"/>
        <v>158.55555555555554</v>
      </c>
      <c r="G36" s="115">
        <f t="shared" si="9"/>
        <v>79.5</v>
      </c>
      <c r="H36" s="45"/>
      <c r="I36" s="115">
        <v>1920</v>
      </c>
      <c r="J36" s="116">
        <f t="shared" si="10"/>
        <v>160</v>
      </c>
      <c r="K36" s="104"/>
      <c r="L36">
        <f t="shared" si="11"/>
        <v>1916.9366666666667</v>
      </c>
    </row>
    <row r="37" spans="1:13" x14ac:dyDescent="0.25">
      <c r="A37" s="44" t="s">
        <v>271</v>
      </c>
      <c r="B37" s="44">
        <v>3</v>
      </c>
      <c r="C37" s="45">
        <f>71486.31-7903</f>
        <v>63583.31</v>
      </c>
      <c r="D37" s="45">
        <v>33730</v>
      </c>
      <c r="E37" s="45">
        <v>31371</v>
      </c>
      <c r="F37" s="45">
        <f t="shared" si="12"/>
        <v>3485.6666666666665</v>
      </c>
      <c r="G37" s="115">
        <v>0</v>
      </c>
      <c r="H37" s="45"/>
      <c r="I37" s="115">
        <f>42140+1200</f>
        <v>43340</v>
      </c>
      <c r="J37" s="116">
        <f t="shared" si="10"/>
        <v>3611.6666666666665</v>
      </c>
      <c r="K37" s="136" t="s">
        <v>667</v>
      </c>
      <c r="L37">
        <f t="shared" si="11"/>
        <v>42141.71</v>
      </c>
    </row>
    <row r="38" spans="1:13" x14ac:dyDescent="0.25">
      <c r="A38" s="44" t="s">
        <v>385</v>
      </c>
      <c r="B38" s="44">
        <v>3</v>
      </c>
      <c r="C38" s="45">
        <f>48606-31189</f>
        <v>17417</v>
      </c>
      <c r="D38" s="45">
        <v>5520</v>
      </c>
      <c r="E38" s="45">
        <v>5251</v>
      </c>
      <c r="F38" s="45">
        <f t="shared" si="12"/>
        <v>583.44444444444446</v>
      </c>
      <c r="G38" s="115">
        <v>0</v>
      </c>
      <c r="H38" s="45"/>
      <c r="I38" s="115">
        <v>7050</v>
      </c>
      <c r="J38" s="116">
        <f t="shared" si="10"/>
        <v>587.5</v>
      </c>
      <c r="K38" s="104"/>
      <c r="L38">
        <f t="shared" si="11"/>
        <v>7053.8433333333332</v>
      </c>
    </row>
    <row r="39" spans="1:13" x14ac:dyDescent="0.25">
      <c r="A39" s="44" t="s">
        <v>46</v>
      </c>
      <c r="B39" s="44">
        <v>3</v>
      </c>
      <c r="C39" s="45">
        <f>20660.03-2019</f>
        <v>18641.03</v>
      </c>
      <c r="D39" s="45">
        <v>8300</v>
      </c>
      <c r="E39" s="45">
        <v>12654</v>
      </c>
      <c r="F39" s="45">
        <f t="shared" si="12"/>
        <v>1406</v>
      </c>
      <c r="G39" s="115">
        <v>0</v>
      </c>
      <c r="H39" s="45"/>
      <c r="I39" s="115">
        <v>17000</v>
      </c>
      <c r="J39" s="116">
        <f t="shared" si="10"/>
        <v>1416.6666666666667</v>
      </c>
      <c r="K39" s="136" t="s">
        <v>618</v>
      </c>
      <c r="L39">
        <f t="shared" si="11"/>
        <v>16998.54</v>
      </c>
    </row>
    <row r="40" spans="1:13" x14ac:dyDescent="0.25">
      <c r="A40" s="44" t="s">
        <v>386</v>
      </c>
      <c r="B40" s="44">
        <v>3</v>
      </c>
      <c r="C40" s="52">
        <f>195211.66-28667</f>
        <v>166544.66</v>
      </c>
      <c r="D40" s="52">
        <v>50000</v>
      </c>
      <c r="E40" s="52">
        <v>54954</v>
      </c>
      <c r="F40" s="52">
        <f>E40/9</f>
        <v>6106</v>
      </c>
      <c r="G40" s="142">
        <v>0</v>
      </c>
      <c r="H40" s="52"/>
      <c r="I40" s="142">
        <v>0</v>
      </c>
      <c r="J40" s="120">
        <f t="shared" si="10"/>
        <v>0</v>
      </c>
      <c r="K40" s="136" t="s">
        <v>572</v>
      </c>
      <c r="L40">
        <f t="shared" si="11"/>
        <v>73821.540000000008</v>
      </c>
    </row>
    <row r="41" spans="1:13" x14ac:dyDescent="0.25">
      <c r="A41" s="75" t="s">
        <v>81</v>
      </c>
      <c r="B41" s="44"/>
      <c r="C41" s="45">
        <f t="shared" ref="C41:J41" si="13">SUM(C24:C40)</f>
        <v>1811301.95</v>
      </c>
      <c r="D41" s="45">
        <f t="shared" si="13"/>
        <v>647260</v>
      </c>
      <c r="E41" s="45">
        <f t="shared" si="13"/>
        <v>535314</v>
      </c>
      <c r="F41" s="45">
        <f>SUM(F24:F40)</f>
        <v>59479.333333333336</v>
      </c>
      <c r="G41" s="115">
        <f t="shared" si="13"/>
        <v>16534.3</v>
      </c>
      <c r="H41" s="45"/>
      <c r="I41" s="115">
        <f t="shared" si="13"/>
        <v>700810</v>
      </c>
      <c r="J41" s="116">
        <f t="shared" si="13"/>
        <v>58400.833333333314</v>
      </c>
      <c r="K41" s="104"/>
    </row>
    <row r="42" spans="1:13" x14ac:dyDescent="0.25">
      <c r="A42" s="44"/>
      <c r="B42" s="44"/>
      <c r="C42" s="45"/>
      <c r="D42" s="45"/>
      <c r="E42" s="45"/>
      <c r="F42" s="45"/>
      <c r="G42" s="115"/>
      <c r="H42" s="45"/>
      <c r="I42" s="115"/>
      <c r="J42" s="116"/>
      <c r="K42" s="104"/>
    </row>
    <row r="43" spans="1:13" x14ac:dyDescent="0.25">
      <c r="A43" s="44" t="s">
        <v>42</v>
      </c>
      <c r="B43" s="44">
        <v>3</v>
      </c>
      <c r="C43" s="45">
        <f>65998.21+29869</f>
        <v>95867.21</v>
      </c>
      <c r="D43" s="45">
        <v>36880</v>
      </c>
      <c r="E43" s="45">
        <v>28461</v>
      </c>
      <c r="F43" s="45">
        <f>E43/9</f>
        <v>3162.3333333333335</v>
      </c>
      <c r="G43" s="115">
        <v>0</v>
      </c>
      <c r="H43" s="45"/>
      <c r="I43" s="115">
        <v>44420</v>
      </c>
      <c r="J43" s="116">
        <f>I43/12</f>
        <v>3701.6666666666665</v>
      </c>
      <c r="K43" s="136" t="s">
        <v>425</v>
      </c>
      <c r="L43">
        <f>I25*7.65%</f>
        <v>42748.2</v>
      </c>
      <c r="M43" s="33">
        <v>7.6499999999999999E-2</v>
      </c>
    </row>
    <row r="44" spans="1:13" x14ac:dyDescent="0.25">
      <c r="A44" s="44" t="s">
        <v>59</v>
      </c>
      <c r="B44" s="44">
        <v>3</v>
      </c>
      <c r="C44" s="45">
        <f>435150.46-124697</f>
        <v>310453.46000000002</v>
      </c>
      <c r="D44" s="45">
        <v>144610</v>
      </c>
      <c r="E44" s="45">
        <v>91746</v>
      </c>
      <c r="F44" s="45">
        <f t="shared" ref="F44:F47" si="14">E44/9</f>
        <v>10194</v>
      </c>
      <c r="G44" s="115">
        <v>0</v>
      </c>
      <c r="H44" s="45"/>
      <c r="I44" s="115">
        <v>174180</v>
      </c>
      <c r="J44" s="116">
        <f t="shared" ref="J44:J48" si="15">I44/12</f>
        <v>14515</v>
      </c>
      <c r="K44" s="136" t="s">
        <v>426</v>
      </c>
      <c r="L44">
        <f>$I$25*30%</f>
        <v>167640</v>
      </c>
      <c r="M44" s="31">
        <v>0.3</v>
      </c>
    </row>
    <row r="45" spans="1:13" x14ac:dyDescent="0.25">
      <c r="A45" s="44" t="s">
        <v>511</v>
      </c>
      <c r="B45" s="44"/>
      <c r="C45" s="45"/>
      <c r="D45" s="45">
        <v>410</v>
      </c>
      <c r="E45" s="45">
        <v>0</v>
      </c>
      <c r="F45" s="45">
        <f t="shared" si="14"/>
        <v>0</v>
      </c>
      <c r="G45" s="115"/>
      <c r="H45" s="45"/>
      <c r="I45" s="115">
        <v>0</v>
      </c>
      <c r="J45" s="116">
        <f t="shared" si="15"/>
        <v>0</v>
      </c>
      <c r="K45" s="136"/>
      <c r="M45" s="31"/>
    </row>
    <row r="46" spans="1:13" x14ac:dyDescent="0.25">
      <c r="A46" s="44" t="s">
        <v>225</v>
      </c>
      <c r="B46" s="44">
        <v>3</v>
      </c>
      <c r="C46" s="45">
        <f>8909.12-2997</f>
        <v>5912.1200000000008</v>
      </c>
      <c r="D46" s="45">
        <v>13905</v>
      </c>
      <c r="E46" s="45">
        <v>16685</v>
      </c>
      <c r="F46" s="45">
        <f t="shared" si="14"/>
        <v>1853.8888888888889</v>
      </c>
      <c r="G46" s="115">
        <f>D46*$M$6</f>
        <v>417.15</v>
      </c>
      <c r="H46" s="45"/>
      <c r="I46" s="115">
        <v>17420</v>
      </c>
      <c r="J46" s="116">
        <f t="shared" si="15"/>
        <v>1451.6666666666667</v>
      </c>
      <c r="K46" s="101" t="s">
        <v>573</v>
      </c>
      <c r="L46">
        <f>$I$25*3%</f>
        <v>16764</v>
      </c>
    </row>
    <row r="47" spans="1:13" x14ac:dyDescent="0.25">
      <c r="A47" s="44" t="s">
        <v>60</v>
      </c>
      <c r="B47" s="44">
        <v>3</v>
      </c>
      <c r="C47" s="45">
        <f>13221.65+3933</f>
        <v>17154.650000000001</v>
      </c>
      <c r="D47" s="45">
        <v>4960</v>
      </c>
      <c r="E47" s="45">
        <v>3760</v>
      </c>
      <c r="F47" s="45">
        <f t="shared" si="14"/>
        <v>417.77777777777777</v>
      </c>
      <c r="G47" s="115">
        <f>D47*$M$6</f>
        <v>148.79999999999998</v>
      </c>
      <c r="H47" s="45"/>
      <c r="I47" s="115">
        <v>5050</v>
      </c>
      <c r="J47" s="116">
        <f t="shared" si="15"/>
        <v>420.83333333333331</v>
      </c>
      <c r="K47" s="104"/>
      <c r="L47">
        <f t="shared" ref="L47" si="16">SUM(E47)+(F47*3)*1.03</f>
        <v>5050.9333333333334</v>
      </c>
    </row>
    <row r="48" spans="1:13" x14ac:dyDescent="0.25">
      <c r="A48" s="44" t="s">
        <v>62</v>
      </c>
      <c r="B48" s="44">
        <v>3</v>
      </c>
      <c r="C48" s="52">
        <v>18095.836666666666</v>
      </c>
      <c r="D48" s="52">
        <v>6010</v>
      </c>
      <c r="E48" s="52">
        <v>5959</v>
      </c>
      <c r="F48" s="52">
        <f>E48/9</f>
        <v>662.11111111111109</v>
      </c>
      <c r="G48" s="142">
        <v>0</v>
      </c>
      <c r="H48" s="52"/>
      <c r="I48" s="142">
        <v>3700</v>
      </c>
      <c r="J48" s="120">
        <f t="shared" si="15"/>
        <v>308.33333333333331</v>
      </c>
      <c r="K48" s="136" t="s">
        <v>350</v>
      </c>
    </row>
    <row r="49" spans="1:11" x14ac:dyDescent="0.25">
      <c r="A49" s="75" t="s">
        <v>85</v>
      </c>
      <c r="B49" s="44"/>
      <c r="C49" s="45">
        <f t="shared" ref="C49:J49" si="17">SUM(C43:C48)</f>
        <v>447483.27666666673</v>
      </c>
      <c r="D49" s="45">
        <f t="shared" si="17"/>
        <v>206775</v>
      </c>
      <c r="E49" s="45">
        <f t="shared" si="17"/>
        <v>146611</v>
      </c>
      <c r="F49" s="45">
        <f>SUM(F43:F48)</f>
        <v>16290.111111111111</v>
      </c>
      <c r="G49" s="115">
        <f t="shared" si="17"/>
        <v>565.94999999999993</v>
      </c>
      <c r="H49" s="45"/>
      <c r="I49" s="115">
        <f>SUM(I43:I48)</f>
        <v>244770</v>
      </c>
      <c r="J49" s="116">
        <f t="shared" si="17"/>
        <v>20397.5</v>
      </c>
      <c r="K49" s="104"/>
    </row>
    <row r="50" spans="1:11" x14ac:dyDescent="0.25">
      <c r="A50" s="44"/>
      <c r="B50" s="44"/>
      <c r="C50" s="45"/>
      <c r="D50" s="45"/>
      <c r="E50" s="45"/>
      <c r="F50" s="45"/>
      <c r="G50" s="115"/>
      <c r="H50" s="45"/>
      <c r="I50" s="115"/>
      <c r="J50" s="116"/>
      <c r="K50" s="104"/>
    </row>
    <row r="51" spans="1:11" x14ac:dyDescent="0.25">
      <c r="A51" s="44" t="s">
        <v>387</v>
      </c>
      <c r="B51" s="44">
        <v>3</v>
      </c>
      <c r="C51" s="45">
        <v>29960978.530000001</v>
      </c>
      <c r="D51" s="52">
        <f>10243890+100000</f>
        <v>10343890</v>
      </c>
      <c r="E51" s="52">
        <f>8351161+53948</f>
        <v>8405109</v>
      </c>
      <c r="F51" s="52">
        <f>E51/9</f>
        <v>933901</v>
      </c>
      <c r="G51" s="142">
        <v>0</v>
      </c>
      <c r="H51" s="52"/>
      <c r="I51" s="269">
        <f>I7</f>
        <v>11332530</v>
      </c>
      <c r="J51" s="120">
        <f t="shared" ref="J51:J52" si="18">I51/12</f>
        <v>944377.5</v>
      </c>
      <c r="K51" s="104"/>
    </row>
    <row r="52" spans="1:11" hidden="1" x14ac:dyDescent="0.25">
      <c r="A52" s="44" t="s">
        <v>388</v>
      </c>
      <c r="B52" s="44">
        <v>3</v>
      </c>
      <c r="C52" s="52">
        <v>308477.79666666663</v>
      </c>
      <c r="D52" s="52"/>
      <c r="E52" s="52">
        <f>D52/12</f>
        <v>0</v>
      </c>
      <c r="F52" s="52"/>
      <c r="G52" s="142">
        <v>0</v>
      </c>
      <c r="H52" s="45"/>
      <c r="I52" s="115">
        <f t="shared" ref="I52" si="19">D52+G52</f>
        <v>0</v>
      </c>
      <c r="J52" s="116">
        <f t="shared" si="18"/>
        <v>0</v>
      </c>
      <c r="K52" s="104"/>
    </row>
    <row r="53" spans="1:11" x14ac:dyDescent="0.25">
      <c r="A53" s="75" t="s">
        <v>389</v>
      </c>
      <c r="B53" s="44"/>
      <c r="C53" s="45">
        <f>SUM(C51:C52)</f>
        <v>30269456.326666668</v>
      </c>
      <c r="D53" s="45">
        <f t="shared" ref="D53:F53" si="20">SUM(D51:D52)</f>
        <v>10343890</v>
      </c>
      <c r="E53" s="45">
        <f t="shared" si="20"/>
        <v>8405109</v>
      </c>
      <c r="F53" s="45">
        <f t="shared" si="20"/>
        <v>933901</v>
      </c>
      <c r="G53" s="115">
        <f>SUM(G51:G52)</f>
        <v>0</v>
      </c>
      <c r="H53" s="45"/>
      <c r="I53" s="115">
        <f>SUM(I51:I52)</f>
        <v>11332530</v>
      </c>
      <c r="J53" s="116">
        <f>SUM(J51:J52)</f>
        <v>944377.5</v>
      </c>
      <c r="K53" s="104"/>
    </row>
    <row r="54" spans="1:11" x14ac:dyDescent="0.25">
      <c r="A54" s="44"/>
      <c r="B54" s="44"/>
      <c r="C54" s="45"/>
      <c r="D54" s="45"/>
      <c r="E54" s="45"/>
      <c r="F54" s="45"/>
      <c r="G54" s="111"/>
      <c r="H54" s="41"/>
      <c r="I54" s="111"/>
      <c r="J54" s="95"/>
      <c r="K54" s="104"/>
    </row>
    <row r="55" spans="1:11" x14ac:dyDescent="0.25">
      <c r="A55" s="44" t="s">
        <v>26</v>
      </c>
      <c r="B55" s="44"/>
      <c r="C55" s="45"/>
      <c r="D55" s="45">
        <v>0</v>
      </c>
      <c r="E55" s="45">
        <v>1786</v>
      </c>
      <c r="F55" s="45">
        <f>E55/9</f>
        <v>198.44444444444446</v>
      </c>
      <c r="G55" s="111"/>
      <c r="H55" s="41"/>
      <c r="I55" s="111"/>
      <c r="J55" s="95"/>
      <c r="K55" s="104"/>
    </row>
    <row r="56" spans="1:11" x14ac:dyDescent="0.25">
      <c r="A56" s="44" t="s">
        <v>64</v>
      </c>
      <c r="B56" s="44">
        <v>3</v>
      </c>
      <c r="C56" s="45">
        <v>435</v>
      </c>
      <c r="D56" s="45">
        <v>0</v>
      </c>
      <c r="E56" s="45">
        <v>0</v>
      </c>
      <c r="F56" s="45">
        <f>E56/9</f>
        <v>0</v>
      </c>
      <c r="G56" s="115">
        <v>0</v>
      </c>
      <c r="H56" s="45"/>
      <c r="I56" s="115">
        <v>1500</v>
      </c>
      <c r="J56" s="116">
        <f t="shared" ref="J56:J57" si="21">I56/12</f>
        <v>125</v>
      </c>
      <c r="K56" s="136" t="s">
        <v>390</v>
      </c>
    </row>
    <row r="57" spans="1:11" x14ac:dyDescent="0.25">
      <c r="A57" s="44" t="s">
        <v>65</v>
      </c>
      <c r="B57" s="44">
        <v>3</v>
      </c>
      <c r="C57" s="45">
        <v>1100</v>
      </c>
      <c r="D57" s="52">
        <v>30000</v>
      </c>
      <c r="E57" s="52">
        <v>1105</v>
      </c>
      <c r="F57" s="52">
        <f>E57/9</f>
        <v>122.77777777777777</v>
      </c>
      <c r="G57" s="142">
        <v>0</v>
      </c>
      <c r="H57" s="52"/>
      <c r="I57" s="142">
        <v>35700</v>
      </c>
      <c r="J57" s="120">
        <f t="shared" si="21"/>
        <v>2975</v>
      </c>
      <c r="K57" s="136" t="s">
        <v>599</v>
      </c>
    </row>
    <row r="58" spans="1:11" ht="15.75" thickBot="1" x14ac:dyDescent="0.3">
      <c r="A58" s="75" t="s">
        <v>314</v>
      </c>
      <c r="B58" s="44"/>
      <c r="C58" s="45">
        <f t="shared" ref="C58:J58" si="22">SUM(C56:C57)</f>
        <v>1535</v>
      </c>
      <c r="D58" s="45">
        <f>SUM(D55:D57)</f>
        <v>30000</v>
      </c>
      <c r="E58" s="45">
        <f t="shared" ref="E58:F58" si="23">SUM(E55:E57)</f>
        <v>2891</v>
      </c>
      <c r="F58" s="45">
        <f t="shared" si="23"/>
        <v>321.22222222222223</v>
      </c>
      <c r="G58" s="143">
        <f t="shared" si="22"/>
        <v>0</v>
      </c>
      <c r="H58" s="45"/>
      <c r="I58" s="97">
        <f t="shared" si="22"/>
        <v>37200</v>
      </c>
      <c r="J58" s="98">
        <f t="shared" si="22"/>
        <v>3100</v>
      </c>
      <c r="K58" s="101"/>
    </row>
    <row r="59" spans="1:11" x14ac:dyDescent="0.25">
      <c r="A59" s="18"/>
      <c r="B59" s="18"/>
      <c r="C59" s="18"/>
      <c r="D59" s="18"/>
      <c r="E59" s="18"/>
      <c r="F59" s="18"/>
    </row>
  </sheetData>
  <customSheetViews>
    <customSheetView guid="{D54A66AC-88E3-46FB-AFE3-2E559F565FEB}" scale="90" hiddenRows="1" hiddenColumns="1" topLeftCell="A20">
      <selection activeCell="L20" sqref="L1:N1048576"/>
      <pageMargins left="0.75" right="0.75" top="1" bottom="1" header="0.5" footer="0.5"/>
      <pageSetup scale="48" fitToHeight="2" orientation="portrait" r:id="rId1"/>
      <headerFooter alignWithMargins="0"/>
    </customSheetView>
  </customSheetViews>
  <pageMargins left="0.75" right="0.75" top="1" bottom="1" header="0.5" footer="0.5"/>
  <pageSetup scale="48" fitToHeight="2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4"/>
  <sheetViews>
    <sheetView tabSelected="1" zoomScale="90" zoomScaleNormal="90" workbookViewId="0">
      <pane xSplit="3" ySplit="4" topLeftCell="D37" activePane="bottomRight" state="frozen"/>
      <selection activeCell="A180" sqref="A180"/>
      <selection pane="topRight" activeCell="A180" sqref="A180"/>
      <selection pane="bottomLeft" activeCell="A180" sqref="A180"/>
      <selection pane="bottomRight" activeCell="I52" sqref="I52"/>
    </sheetView>
  </sheetViews>
  <sheetFormatPr defaultRowHeight="15" x14ac:dyDescent="0.25"/>
  <cols>
    <col min="1" max="1" width="55.42578125" bestFit="1" customWidth="1"/>
    <col min="2" max="2" width="9.140625" hidden="1" customWidth="1"/>
    <col min="3" max="3" width="11.7109375" hidden="1" customWidth="1"/>
    <col min="4" max="4" width="15.42578125" bestFit="1" customWidth="1"/>
    <col min="5" max="5" width="14.28515625" bestFit="1" customWidth="1"/>
    <col min="6" max="6" width="11.7109375" customWidth="1"/>
    <col min="7" max="7" width="3.42578125" customWidth="1"/>
    <col min="8" max="8" width="0" hidden="1" customWidth="1"/>
    <col min="9" max="9" width="22.7109375" customWidth="1"/>
    <col min="10" max="10" width="12.85546875" bestFit="1" customWidth="1"/>
    <col min="11" max="11" width="51.140625" customWidth="1"/>
    <col min="12" max="15" width="0" hidden="1" customWidth="1"/>
  </cols>
  <sheetData>
    <row r="1" spans="1:18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'Viking Sq'!I1</f>
        <v>Projected Annual Budget 2017</v>
      </c>
      <c r="J1" s="125"/>
      <c r="K1" s="152"/>
      <c r="L1" s="104"/>
      <c r="M1" s="104"/>
      <c r="N1" s="104"/>
      <c r="O1" s="104"/>
      <c r="P1" s="104"/>
      <c r="Q1" s="104"/>
      <c r="R1" s="104"/>
    </row>
    <row r="2" spans="1:18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1" t="s">
        <v>588</v>
      </c>
      <c r="L2" s="104"/>
      <c r="M2" s="104"/>
      <c r="N2" s="104"/>
      <c r="O2" s="104"/>
      <c r="P2" s="104"/>
      <c r="Q2" s="104"/>
      <c r="R2" s="104"/>
    </row>
    <row r="3" spans="1:18" ht="21" thickBot="1" x14ac:dyDescent="0.35">
      <c r="A3" s="99" t="s">
        <v>658</v>
      </c>
      <c r="B3" s="104"/>
      <c r="C3" s="104"/>
      <c r="D3" s="109"/>
      <c r="E3" s="104"/>
      <c r="F3" s="104"/>
      <c r="G3" s="104"/>
      <c r="H3" s="104"/>
      <c r="I3" s="111"/>
      <c r="J3" s="95"/>
      <c r="K3" s="101" t="s">
        <v>637</v>
      </c>
      <c r="L3" s="104"/>
      <c r="M3" s="104"/>
      <c r="N3" s="104"/>
      <c r="O3" s="104"/>
      <c r="P3" s="104"/>
      <c r="Q3" s="104"/>
      <c r="R3" s="104"/>
    </row>
    <row r="4" spans="1:18" s="29" customFormat="1" ht="45.75" thickBot="1" x14ac:dyDescent="0.3">
      <c r="A4" s="39" t="s">
        <v>71</v>
      </c>
      <c r="B4" s="39" t="s">
        <v>72</v>
      </c>
      <c r="C4" s="39" t="s">
        <v>73</v>
      </c>
      <c r="D4" s="40" t="str">
        <f>'Viking Sq'!D4</f>
        <v>2016 Annual Budget</v>
      </c>
      <c r="E4" s="40" t="str">
        <f>'Viking Sq'!E4</f>
        <v>YTD Actual FY 2016 @ 9/30/16</v>
      </c>
      <c r="F4" s="40" t="str">
        <f>'Viking Sq'!F4</f>
        <v>FY 2016 - 9 month Avg</v>
      </c>
      <c r="G4" s="104"/>
      <c r="H4" s="172"/>
      <c r="I4" s="132" t="s">
        <v>427</v>
      </c>
      <c r="J4" s="43" t="s">
        <v>428</v>
      </c>
      <c r="K4" s="133"/>
      <c r="L4" s="41"/>
      <c r="M4" s="41"/>
      <c r="N4" s="168"/>
      <c r="O4" s="168"/>
      <c r="P4" s="168"/>
      <c r="Q4" s="168"/>
      <c r="R4" s="168"/>
    </row>
    <row r="5" spans="1:18" x14ac:dyDescent="0.25">
      <c r="A5" s="44" t="s">
        <v>33</v>
      </c>
      <c r="B5" s="44">
        <v>3</v>
      </c>
      <c r="C5" s="118">
        <v>-529501.75</v>
      </c>
      <c r="D5" s="46">
        <v>192230</v>
      </c>
      <c r="E5" s="46">
        <v>151454</v>
      </c>
      <c r="F5" s="46">
        <f>E5/9</f>
        <v>16828.222222222223</v>
      </c>
      <c r="G5" s="46"/>
      <c r="H5" s="57">
        <v>0</v>
      </c>
      <c r="I5" s="135">
        <v>203450</v>
      </c>
      <c r="J5" s="58">
        <f>I5/12</f>
        <v>16954.166666666668</v>
      </c>
      <c r="K5" s="239"/>
      <c r="L5" s="268">
        <f t="shared" ref="L5:L6" si="0">SUM(E5)+(F5*3)*1.03</f>
        <v>203453.20666666667</v>
      </c>
      <c r="M5" s="104"/>
      <c r="N5" s="109" t="s">
        <v>74</v>
      </c>
      <c r="O5" s="104"/>
      <c r="P5" s="104"/>
      <c r="Q5" s="104"/>
      <c r="R5" s="104"/>
    </row>
    <row r="6" spans="1:18" x14ac:dyDescent="0.25">
      <c r="A6" s="44" t="s">
        <v>322</v>
      </c>
      <c r="B6" s="44">
        <v>3</v>
      </c>
      <c r="C6" s="118">
        <v>-943894</v>
      </c>
      <c r="D6" s="46">
        <v>370790</v>
      </c>
      <c r="E6" s="46">
        <v>265394</v>
      </c>
      <c r="F6" s="46">
        <f t="shared" ref="F6:F11" si="1">E6/9</f>
        <v>29488.222222222223</v>
      </c>
      <c r="G6" s="46"/>
      <c r="H6" s="57">
        <v>0</v>
      </c>
      <c r="I6" s="135">
        <v>356510</v>
      </c>
      <c r="J6" s="58">
        <f t="shared" ref="J6:J12" si="2">I6/12</f>
        <v>29709.166666666668</v>
      </c>
      <c r="K6" s="104"/>
      <c r="L6" s="104">
        <f t="shared" si="0"/>
        <v>356512.60666666669</v>
      </c>
      <c r="M6" s="104"/>
      <c r="N6" s="152">
        <v>0.05</v>
      </c>
      <c r="O6" s="104"/>
      <c r="P6" s="104"/>
      <c r="Q6" s="104"/>
      <c r="R6" s="104"/>
    </row>
    <row r="7" spans="1:18" x14ac:dyDescent="0.25">
      <c r="A7" s="44" t="s">
        <v>34</v>
      </c>
      <c r="B7" s="44">
        <v>3</v>
      </c>
      <c r="C7" s="118">
        <f>26538.3-5333</f>
        <v>21205.3</v>
      </c>
      <c r="D7" s="46">
        <v>-3840</v>
      </c>
      <c r="E7" s="46">
        <v>-9905</v>
      </c>
      <c r="F7" s="46">
        <f t="shared" si="1"/>
        <v>-1100.5555555555557</v>
      </c>
      <c r="G7" s="46"/>
      <c r="H7" s="57">
        <f>D7*$N$8</f>
        <v>-115.19999999999999</v>
      </c>
      <c r="I7" s="135">
        <v>-4330</v>
      </c>
      <c r="J7" s="58">
        <f t="shared" si="2"/>
        <v>-360.83333333333331</v>
      </c>
      <c r="K7" s="101" t="s">
        <v>568</v>
      </c>
      <c r="L7" s="104">
        <f>I5*2%</f>
        <v>4069</v>
      </c>
      <c r="M7" s="104"/>
      <c r="N7" s="109" t="s">
        <v>392</v>
      </c>
      <c r="O7" s="104"/>
      <c r="P7" s="104"/>
      <c r="Q7" s="104"/>
      <c r="R7" s="104"/>
    </row>
    <row r="8" spans="1:18" x14ac:dyDescent="0.25">
      <c r="A8" s="44" t="s">
        <v>35</v>
      </c>
      <c r="B8" s="44">
        <v>3</v>
      </c>
      <c r="C8" s="118">
        <f>-36-1275</f>
        <v>-1311</v>
      </c>
      <c r="D8" s="46">
        <v>500</v>
      </c>
      <c r="E8" s="46">
        <v>309</v>
      </c>
      <c r="F8" s="46">
        <f t="shared" si="1"/>
        <v>34.333333333333336</v>
      </c>
      <c r="G8" s="46"/>
      <c r="H8" s="57">
        <f>D8*$N$8</f>
        <v>15</v>
      </c>
      <c r="I8" s="135">
        <v>410</v>
      </c>
      <c r="J8" s="58">
        <f t="shared" si="2"/>
        <v>34.166666666666664</v>
      </c>
      <c r="K8" s="104"/>
      <c r="L8" s="104">
        <f t="shared" ref="L8:L12" si="3">SUM(E8)+(F8*3)*1.03</f>
        <v>415.09000000000003</v>
      </c>
      <c r="M8" s="104"/>
      <c r="N8" s="152">
        <v>0.03</v>
      </c>
      <c r="O8" s="104"/>
      <c r="P8" s="104"/>
      <c r="Q8" s="104"/>
      <c r="R8" s="104"/>
    </row>
    <row r="9" spans="1:18" x14ac:dyDescent="0.25">
      <c r="A9" s="44" t="s">
        <v>36</v>
      </c>
      <c r="B9" s="44">
        <v>3</v>
      </c>
      <c r="C9" s="118">
        <f>-9335.56+1733</f>
        <v>-7602.5599999999995</v>
      </c>
      <c r="D9" s="46">
        <v>2910</v>
      </c>
      <c r="E9" s="46">
        <v>2753</v>
      </c>
      <c r="F9" s="46">
        <f t="shared" si="1"/>
        <v>305.88888888888891</v>
      </c>
      <c r="G9" s="46"/>
      <c r="H9" s="57">
        <f>D9*$N$8</f>
        <v>87.3</v>
      </c>
      <c r="I9" s="135">
        <v>3700</v>
      </c>
      <c r="J9" s="58">
        <f t="shared" si="2"/>
        <v>308.33333333333331</v>
      </c>
      <c r="K9" s="104"/>
      <c r="L9" s="104">
        <f t="shared" si="3"/>
        <v>3698.1966666666667</v>
      </c>
      <c r="M9" s="104"/>
      <c r="N9" s="104"/>
      <c r="O9" s="104"/>
      <c r="P9" s="104"/>
      <c r="Q9" s="104"/>
      <c r="R9" s="104"/>
    </row>
    <row r="10" spans="1:18" x14ac:dyDescent="0.25">
      <c r="A10" s="44" t="s">
        <v>619</v>
      </c>
      <c r="B10" s="44"/>
      <c r="C10" s="118"/>
      <c r="D10" s="46">
        <v>0</v>
      </c>
      <c r="E10" s="46">
        <v>0</v>
      </c>
      <c r="F10" s="46">
        <f t="shared" si="1"/>
        <v>0</v>
      </c>
      <c r="G10" s="46"/>
      <c r="H10" s="57"/>
      <c r="I10" s="135">
        <v>63100</v>
      </c>
      <c r="J10" s="58">
        <f t="shared" si="2"/>
        <v>5258.333333333333</v>
      </c>
      <c r="K10" s="101" t="s">
        <v>620</v>
      </c>
      <c r="L10" s="104"/>
      <c r="M10" s="104"/>
      <c r="N10" s="104"/>
      <c r="O10" s="104"/>
      <c r="P10" s="104"/>
      <c r="Q10" s="104"/>
      <c r="R10" s="104"/>
    </row>
    <row r="11" spans="1:18" x14ac:dyDescent="0.25">
      <c r="A11" s="44" t="s">
        <v>37</v>
      </c>
      <c r="B11" s="44">
        <v>3</v>
      </c>
      <c r="C11" s="118">
        <v>-233</v>
      </c>
      <c r="D11" s="46">
        <v>200</v>
      </c>
      <c r="E11" s="46">
        <v>7</v>
      </c>
      <c r="F11" s="46">
        <f t="shared" si="1"/>
        <v>0.77777777777777779</v>
      </c>
      <c r="G11" s="46"/>
      <c r="H11" s="57">
        <f>D11*$N$8</f>
        <v>6</v>
      </c>
      <c r="I11" s="135">
        <v>200</v>
      </c>
      <c r="J11" s="58">
        <f t="shared" si="2"/>
        <v>16.666666666666668</v>
      </c>
      <c r="K11" s="104"/>
      <c r="L11" s="104">
        <f t="shared" si="3"/>
        <v>9.4033333333333342</v>
      </c>
      <c r="M11" s="104"/>
      <c r="N11" s="104"/>
      <c r="O11" s="104"/>
      <c r="P11" s="104"/>
      <c r="Q11" s="104"/>
      <c r="R11" s="104"/>
    </row>
    <row r="12" spans="1:18" x14ac:dyDescent="0.25">
      <c r="A12" s="44" t="s">
        <v>284</v>
      </c>
      <c r="B12" s="44">
        <v>3</v>
      </c>
      <c r="C12" s="119">
        <f>-8292+2029</f>
        <v>-6263</v>
      </c>
      <c r="D12" s="53">
        <v>1360</v>
      </c>
      <c r="E12" s="53">
        <v>779</v>
      </c>
      <c r="F12" s="53">
        <f>E12/9</f>
        <v>86.555555555555557</v>
      </c>
      <c r="G12" s="53"/>
      <c r="H12" s="137">
        <f>D12*$N$8</f>
        <v>40.799999999999997</v>
      </c>
      <c r="I12" s="138">
        <v>1050</v>
      </c>
      <c r="J12" s="139">
        <f t="shared" si="2"/>
        <v>87.5</v>
      </c>
      <c r="K12" s="104"/>
      <c r="L12" s="104">
        <f t="shared" si="3"/>
        <v>1046.4566666666667</v>
      </c>
      <c r="M12" s="104"/>
      <c r="N12" s="104"/>
      <c r="O12" s="104"/>
      <c r="P12" s="104"/>
      <c r="Q12" s="104"/>
      <c r="R12" s="104"/>
    </row>
    <row r="13" spans="1:18" x14ac:dyDescent="0.25">
      <c r="A13" s="75" t="s">
        <v>75</v>
      </c>
      <c r="B13" s="44"/>
      <c r="C13" s="45">
        <f t="shared" ref="C13:J13" si="4">SUM(C4:C12)</f>
        <v>-1467600.01</v>
      </c>
      <c r="D13" s="46">
        <f t="shared" si="4"/>
        <v>564150</v>
      </c>
      <c r="E13" s="46">
        <f>SUM(E5:E12)</f>
        <v>410791</v>
      </c>
      <c r="F13" s="46">
        <f>SUM(F5:F12)</f>
        <v>45643.444444444453</v>
      </c>
      <c r="G13" s="46"/>
      <c r="H13" s="57">
        <f t="shared" si="4"/>
        <v>33.900000000000006</v>
      </c>
      <c r="I13" s="57">
        <f t="shared" si="4"/>
        <v>624090</v>
      </c>
      <c r="J13" s="58">
        <f t="shared" si="4"/>
        <v>52007.5</v>
      </c>
      <c r="K13" s="104"/>
      <c r="L13" s="104"/>
      <c r="M13" s="104"/>
      <c r="N13" s="104"/>
      <c r="O13" s="104"/>
      <c r="P13" s="104"/>
      <c r="Q13" s="104"/>
      <c r="R13" s="104"/>
    </row>
    <row r="14" spans="1:18" x14ac:dyDescent="0.25">
      <c r="A14" s="44"/>
      <c r="B14" s="44"/>
      <c r="C14" s="45"/>
      <c r="D14" s="46"/>
      <c r="E14" s="46"/>
      <c r="F14" s="46"/>
      <c r="G14" s="46"/>
      <c r="H14" s="57"/>
      <c r="I14" s="57"/>
      <c r="J14" s="58"/>
      <c r="K14" s="104"/>
      <c r="L14" s="104"/>
      <c r="M14" s="104"/>
      <c r="N14" s="104"/>
      <c r="O14" s="104"/>
      <c r="P14" s="104"/>
      <c r="Q14" s="104"/>
      <c r="R14" s="104"/>
    </row>
    <row r="15" spans="1:18" x14ac:dyDescent="0.25">
      <c r="A15" s="44" t="s">
        <v>76</v>
      </c>
      <c r="B15" s="44"/>
      <c r="C15" s="45">
        <f>C43</f>
        <v>384687.69999999995</v>
      </c>
      <c r="D15" s="46">
        <f>-D43</f>
        <v>-125310</v>
      </c>
      <c r="E15" s="46">
        <f>-E43</f>
        <v>-98708</v>
      </c>
      <c r="F15" s="46">
        <f>E15/9</f>
        <v>-10967.555555555555</v>
      </c>
      <c r="G15" s="46"/>
      <c r="H15" s="57">
        <f>H43</f>
        <v>4377.7000000000007</v>
      </c>
      <c r="I15" s="57">
        <f>-I43</f>
        <v>-133120</v>
      </c>
      <c r="J15" s="58">
        <f>-J43</f>
        <v>-10968.333333333334</v>
      </c>
      <c r="K15" s="104"/>
      <c r="L15" s="104"/>
      <c r="M15" s="104"/>
      <c r="N15" s="104"/>
      <c r="O15" s="104"/>
      <c r="P15" s="104"/>
      <c r="Q15" s="104"/>
      <c r="R15" s="104"/>
    </row>
    <row r="16" spans="1:18" x14ac:dyDescent="0.25">
      <c r="A16" s="44" t="s">
        <v>83</v>
      </c>
      <c r="B16" s="44"/>
      <c r="C16" s="45">
        <f t="shared" ref="C16:H16" si="5">C50</f>
        <v>132359.13</v>
      </c>
      <c r="D16" s="46">
        <f>-D50</f>
        <v>-39590</v>
      </c>
      <c r="E16" s="46">
        <f>-E50</f>
        <v>-31498</v>
      </c>
      <c r="F16" s="46">
        <f t="shared" ref="F16:F20" si="6">E16/9</f>
        <v>-3499.7777777777778</v>
      </c>
      <c r="G16" s="46"/>
      <c r="H16" s="57">
        <f t="shared" si="5"/>
        <v>0</v>
      </c>
      <c r="I16" s="57">
        <f>-I50</f>
        <v>-32350</v>
      </c>
      <c r="J16" s="58">
        <f>-J50</f>
        <v>-2695.8333333333335</v>
      </c>
      <c r="K16" s="101"/>
      <c r="L16" s="104"/>
      <c r="M16" s="104"/>
      <c r="N16" s="104"/>
      <c r="O16" s="104"/>
      <c r="P16" s="104"/>
      <c r="Q16" s="104"/>
      <c r="R16" s="104"/>
    </row>
    <row r="17" spans="1:18" x14ac:dyDescent="0.25">
      <c r="A17" s="44" t="s">
        <v>88</v>
      </c>
      <c r="B17" s="44"/>
      <c r="C17" s="45">
        <f>C68</f>
        <v>279758.26</v>
      </c>
      <c r="D17" s="46">
        <f>-D68</f>
        <v>-118380</v>
      </c>
      <c r="E17" s="46">
        <f>-E68</f>
        <v>-114120</v>
      </c>
      <c r="F17" s="46">
        <f t="shared" si="6"/>
        <v>-12680</v>
      </c>
      <c r="G17" s="46"/>
      <c r="H17" s="173">
        <f>H68</f>
        <v>2660.3999999999996</v>
      </c>
      <c r="I17" s="57">
        <f>-I68</f>
        <v>-154280</v>
      </c>
      <c r="J17" s="58">
        <f>-J68</f>
        <v>-12856.666666666666</v>
      </c>
      <c r="K17" s="104"/>
      <c r="L17" s="104"/>
      <c r="M17" s="104"/>
      <c r="N17" s="104"/>
      <c r="O17" s="104"/>
      <c r="P17" s="104"/>
      <c r="Q17" s="104"/>
      <c r="R17" s="104"/>
    </row>
    <row r="18" spans="1:18" x14ac:dyDescent="0.25">
      <c r="A18" s="44" t="s">
        <v>77</v>
      </c>
      <c r="B18" s="44"/>
      <c r="C18" s="45">
        <f>C80</f>
        <v>330903.68999999994</v>
      </c>
      <c r="D18" s="46">
        <f>-D80</f>
        <v>-80690</v>
      </c>
      <c r="E18" s="46">
        <f>-E80</f>
        <v>-54716</v>
      </c>
      <c r="F18" s="46">
        <f t="shared" si="6"/>
        <v>-6079.5555555555557</v>
      </c>
      <c r="G18" s="46"/>
      <c r="H18" s="57">
        <f>H80</f>
        <v>9031.6149999999998</v>
      </c>
      <c r="I18" s="57">
        <f>-I80</f>
        <v>-82750</v>
      </c>
      <c r="J18" s="58">
        <f>-J80</f>
        <v>-6895.8333333333339</v>
      </c>
      <c r="K18" s="101"/>
      <c r="L18" s="104"/>
      <c r="M18" s="104"/>
      <c r="N18" s="104"/>
      <c r="O18" s="104"/>
      <c r="P18" s="104"/>
      <c r="Q18" s="104"/>
      <c r="R18" s="104"/>
    </row>
    <row r="19" spans="1:18" x14ac:dyDescent="0.25">
      <c r="A19" s="44" t="s">
        <v>296</v>
      </c>
      <c r="B19" s="44"/>
      <c r="C19" s="45">
        <f>C85</f>
        <v>452336.52</v>
      </c>
      <c r="D19" s="46">
        <f>-D85</f>
        <v>-169630</v>
      </c>
      <c r="E19" s="46">
        <f>-E85</f>
        <v>-141352</v>
      </c>
      <c r="F19" s="46">
        <f t="shared" si="6"/>
        <v>-15705.777777777777</v>
      </c>
      <c r="G19" s="46"/>
      <c r="H19" s="57">
        <f>H85</f>
        <v>0</v>
      </c>
      <c r="I19" s="57">
        <f>-I85</f>
        <v>-169630</v>
      </c>
      <c r="J19" s="58">
        <f>-J85</f>
        <v>-14135.833333333334</v>
      </c>
      <c r="K19" s="101"/>
      <c r="L19" s="104"/>
      <c r="M19" s="104"/>
      <c r="N19" s="104"/>
      <c r="O19" s="104"/>
      <c r="P19" s="104"/>
      <c r="Q19" s="104"/>
      <c r="R19" s="104"/>
    </row>
    <row r="20" spans="1:18" x14ac:dyDescent="0.25">
      <c r="A20" s="44" t="s">
        <v>78</v>
      </c>
      <c r="B20" s="44"/>
      <c r="C20" s="45">
        <f>C89</f>
        <v>35806.879999999997</v>
      </c>
      <c r="D20" s="46">
        <f>-D89</f>
        <v>-13020</v>
      </c>
      <c r="E20" s="46">
        <f>-E89</f>
        <v>-9765</v>
      </c>
      <c r="F20" s="46">
        <f t="shared" si="6"/>
        <v>-1085</v>
      </c>
      <c r="G20" s="46"/>
      <c r="H20" s="57">
        <f>H89</f>
        <v>0</v>
      </c>
      <c r="I20" s="57">
        <f>-I89</f>
        <v>-13020</v>
      </c>
      <c r="J20" s="58">
        <f>-J89</f>
        <v>-1085</v>
      </c>
      <c r="K20" s="106"/>
      <c r="L20" s="162"/>
      <c r="M20" s="104"/>
      <c r="N20" s="104"/>
      <c r="O20" s="104"/>
      <c r="P20" s="104"/>
      <c r="Q20" s="104"/>
      <c r="R20" s="104"/>
    </row>
    <row r="21" spans="1:18" x14ac:dyDescent="0.25">
      <c r="A21" s="44" t="s">
        <v>79</v>
      </c>
      <c r="B21" s="44"/>
      <c r="C21" s="52">
        <f>C102</f>
        <v>56347.270000000004</v>
      </c>
      <c r="D21" s="53">
        <f>-D102</f>
        <v>-21500</v>
      </c>
      <c r="E21" s="53">
        <f>-E102</f>
        <v>-4542</v>
      </c>
      <c r="F21" s="53">
        <f>E21/9</f>
        <v>-504.66666666666669</v>
      </c>
      <c r="G21" s="53"/>
      <c r="H21" s="137">
        <f>H102</f>
        <v>0</v>
      </c>
      <c r="I21" s="137">
        <f>-I102</f>
        <v>-43100</v>
      </c>
      <c r="J21" s="139">
        <f>-J102</f>
        <v>-3591.6666666666665</v>
      </c>
      <c r="K21" s="106"/>
      <c r="L21" s="104"/>
      <c r="M21" s="104"/>
      <c r="N21" s="104"/>
      <c r="O21" s="104"/>
      <c r="P21" s="104"/>
      <c r="Q21" s="104"/>
      <c r="R21" s="104"/>
    </row>
    <row r="22" spans="1:18" x14ac:dyDescent="0.25">
      <c r="A22" s="44" t="s">
        <v>80</v>
      </c>
      <c r="B22" s="44"/>
      <c r="C22" s="140">
        <f>SUM(C15:C21)</f>
        <v>1672199.4499999997</v>
      </c>
      <c r="D22" s="141">
        <f t="shared" ref="D22:F22" si="7">SUM(D15:D21)</f>
        <v>-568120</v>
      </c>
      <c r="E22" s="141">
        <f t="shared" si="7"/>
        <v>-454701</v>
      </c>
      <c r="F22" s="141">
        <f t="shared" si="7"/>
        <v>-50522.333333333336</v>
      </c>
      <c r="G22" s="53"/>
      <c r="H22" s="137">
        <f>SUM(H15:H21)</f>
        <v>16069.715</v>
      </c>
      <c r="I22" s="163">
        <f t="shared" ref="I22:J22" si="8">SUM(I15:I21)</f>
        <v>-628250</v>
      </c>
      <c r="J22" s="164">
        <f t="shared" si="8"/>
        <v>-52229.166666666672</v>
      </c>
      <c r="K22" s="106"/>
      <c r="L22" s="104"/>
      <c r="M22" s="104"/>
      <c r="N22" s="104"/>
      <c r="O22" s="104"/>
      <c r="P22" s="104"/>
      <c r="Q22" s="104"/>
      <c r="R22" s="104"/>
    </row>
    <row r="23" spans="1:18" ht="15.75" thickBot="1" x14ac:dyDescent="0.3">
      <c r="A23" s="44"/>
      <c r="B23" s="44"/>
      <c r="C23" s="45"/>
      <c r="D23" s="46"/>
      <c r="E23" s="46"/>
      <c r="F23" s="46"/>
      <c r="G23" s="46"/>
      <c r="H23" s="57"/>
      <c r="I23" s="57"/>
      <c r="J23" s="58"/>
      <c r="K23" s="106"/>
      <c r="L23" s="104"/>
      <c r="M23" s="104"/>
      <c r="N23" s="104"/>
      <c r="O23" s="104"/>
      <c r="P23" s="104"/>
      <c r="Q23" s="104"/>
      <c r="R23" s="104"/>
    </row>
    <row r="24" spans="1:18" ht="15.75" thickBot="1" x14ac:dyDescent="0.3">
      <c r="A24" s="260" t="s">
        <v>550</v>
      </c>
      <c r="B24" s="122"/>
      <c r="C24" s="123">
        <f>SUM(-C13-C22)</f>
        <v>-204599.43999999971</v>
      </c>
      <c r="D24" s="72">
        <f>SUM(D13+D22)+D79</f>
        <v>18590</v>
      </c>
      <c r="E24" s="72">
        <f t="shared" ref="E24:F24" si="9">SUM(E13+E22)+E79</f>
        <v>-28636</v>
      </c>
      <c r="F24" s="72">
        <f t="shared" si="9"/>
        <v>-3181.7777777777719</v>
      </c>
      <c r="G24" s="72"/>
      <c r="H24" s="73">
        <f>SUM(-H13-H22)</f>
        <v>-16103.615</v>
      </c>
      <c r="I24" s="73">
        <f>SUM(I13+I22)+I79</f>
        <v>16200</v>
      </c>
      <c r="J24" s="74">
        <f>SUM(J13+J22)+J79</f>
        <v>1474.9999999999952</v>
      </c>
      <c r="K24" s="106"/>
      <c r="L24" s="104"/>
      <c r="M24" s="104"/>
      <c r="N24" s="104"/>
      <c r="O24" s="104"/>
      <c r="P24" s="104"/>
      <c r="Q24" s="104"/>
      <c r="R24" s="104"/>
    </row>
    <row r="25" spans="1:18" x14ac:dyDescent="0.25">
      <c r="A25" s="75" t="s">
        <v>449</v>
      </c>
      <c r="B25" s="44"/>
      <c r="C25" s="45"/>
      <c r="D25" s="46"/>
      <c r="E25" s="46"/>
      <c r="F25" s="46"/>
      <c r="G25" s="46"/>
      <c r="H25" s="57"/>
      <c r="I25" s="57"/>
      <c r="J25" s="58"/>
      <c r="K25" s="106"/>
      <c r="L25" s="104"/>
      <c r="M25" s="104"/>
      <c r="N25" s="104"/>
      <c r="O25" s="104"/>
      <c r="P25" s="104"/>
      <c r="Q25" s="104"/>
      <c r="R25" s="104"/>
    </row>
    <row r="26" spans="1:18" x14ac:dyDescent="0.25">
      <c r="A26" s="44" t="s">
        <v>38</v>
      </c>
      <c r="B26" s="63">
        <v>3</v>
      </c>
      <c r="C26" s="45">
        <f>SUM('[2]2014'!C9:E9)+18</f>
        <v>-29524.57</v>
      </c>
      <c r="D26" s="45">
        <v>100</v>
      </c>
      <c r="E26" s="45">
        <v>0</v>
      </c>
      <c r="F26" s="45">
        <f>E26/9</f>
        <v>0</v>
      </c>
      <c r="G26" s="45"/>
      <c r="H26" s="115">
        <v>0</v>
      </c>
      <c r="I26" s="115">
        <v>50</v>
      </c>
      <c r="J26" s="116">
        <f t="shared" ref="J26" si="10">I26/12</f>
        <v>4.166666666666667</v>
      </c>
      <c r="K26" s="106"/>
      <c r="L26" s="104">
        <f t="shared" ref="L26:L42" si="11">SUM(E26)+(F26*3)*1.03</f>
        <v>0</v>
      </c>
      <c r="M26" s="104"/>
      <c r="N26" s="104"/>
      <c r="O26" s="104"/>
      <c r="P26" s="104"/>
      <c r="Q26" s="104"/>
      <c r="R26" s="104"/>
    </row>
    <row r="27" spans="1:18" x14ac:dyDescent="0.25">
      <c r="A27" s="44" t="s">
        <v>39</v>
      </c>
      <c r="B27" s="44">
        <v>3</v>
      </c>
      <c r="C27" s="118">
        <f>60000+51523</f>
        <v>111523</v>
      </c>
      <c r="D27" s="174">
        <v>42540</v>
      </c>
      <c r="E27" s="45">
        <v>30593</v>
      </c>
      <c r="F27" s="45">
        <f t="shared" ref="F27:F41" si="12">E27/9</f>
        <v>3399.2222222222222</v>
      </c>
      <c r="G27" s="45"/>
      <c r="H27" s="57">
        <f>D27*$N$8</f>
        <v>1276.2</v>
      </c>
      <c r="I27" s="57">
        <v>41100</v>
      </c>
      <c r="J27" s="58">
        <f t="shared" ref="J27:J93" si="13">I27/12</f>
        <v>3425</v>
      </c>
      <c r="K27" s="104"/>
      <c r="L27" s="104">
        <f t="shared" si="11"/>
        <v>41096.596666666665</v>
      </c>
      <c r="M27" s="104"/>
      <c r="N27" s="104"/>
      <c r="O27" s="104"/>
      <c r="P27" s="104"/>
      <c r="Q27" s="104"/>
      <c r="R27" s="104"/>
    </row>
    <row r="28" spans="1:18" x14ac:dyDescent="0.25">
      <c r="A28" s="44" t="s">
        <v>40</v>
      </c>
      <c r="B28" s="44">
        <v>3</v>
      </c>
      <c r="C28" s="118">
        <f>10588.22-103</f>
        <v>10485.219999999999</v>
      </c>
      <c r="D28" s="46">
        <v>3390</v>
      </c>
      <c r="E28" s="45">
        <v>2156</v>
      </c>
      <c r="F28" s="45">
        <f t="shared" si="12"/>
        <v>239.55555555555554</v>
      </c>
      <c r="G28" s="45"/>
      <c r="H28" s="115">
        <f>D28*$N$8</f>
        <v>101.7</v>
      </c>
      <c r="I28" s="115">
        <v>2900</v>
      </c>
      <c r="J28" s="116">
        <f t="shared" si="13"/>
        <v>241.66666666666666</v>
      </c>
      <c r="K28" s="104"/>
      <c r="L28" s="104">
        <f t="shared" si="11"/>
        <v>2896.2266666666665</v>
      </c>
      <c r="M28" s="104"/>
      <c r="N28" s="104"/>
      <c r="O28" s="104"/>
      <c r="P28" s="104"/>
      <c r="Q28" s="104"/>
      <c r="R28" s="104"/>
    </row>
    <row r="29" spans="1:18" x14ac:dyDescent="0.25">
      <c r="A29" s="44" t="s">
        <v>317</v>
      </c>
      <c r="B29" s="44">
        <v>3</v>
      </c>
      <c r="C29" s="118">
        <v>815</v>
      </c>
      <c r="D29" s="46">
        <v>230</v>
      </c>
      <c r="E29" s="45">
        <v>190</v>
      </c>
      <c r="F29" s="45">
        <f t="shared" si="12"/>
        <v>21.111111111111111</v>
      </c>
      <c r="G29" s="45"/>
      <c r="H29" s="115">
        <f>D29*$N$8</f>
        <v>6.8999999999999995</v>
      </c>
      <c r="I29" s="115">
        <v>260</v>
      </c>
      <c r="J29" s="116">
        <f t="shared" si="13"/>
        <v>21.666666666666668</v>
      </c>
      <c r="K29" s="104"/>
      <c r="L29" s="104">
        <f t="shared" si="11"/>
        <v>255.23333333333335</v>
      </c>
      <c r="M29" s="104"/>
      <c r="N29" s="104"/>
      <c r="O29" s="104"/>
      <c r="P29" s="104"/>
      <c r="Q29" s="104"/>
      <c r="R29" s="104"/>
    </row>
    <row r="30" spans="1:18" x14ac:dyDescent="0.25">
      <c r="A30" s="44" t="s">
        <v>429</v>
      </c>
      <c r="B30" s="44">
        <v>3</v>
      </c>
      <c r="C30" s="118">
        <f>6773-1</f>
        <v>6772</v>
      </c>
      <c r="D30" s="46">
        <v>2890</v>
      </c>
      <c r="E30" s="45">
        <v>1663</v>
      </c>
      <c r="F30" s="45">
        <f t="shared" si="12"/>
        <v>184.77777777777777</v>
      </c>
      <c r="G30" s="45"/>
      <c r="H30" s="115">
        <f>D30*$N$6</f>
        <v>144.5</v>
      </c>
      <c r="I30" s="115">
        <v>2230</v>
      </c>
      <c r="J30" s="116">
        <f t="shared" si="13"/>
        <v>185.83333333333334</v>
      </c>
      <c r="K30" s="104"/>
      <c r="L30" s="104">
        <f t="shared" si="11"/>
        <v>2233.9633333333331</v>
      </c>
      <c r="M30" s="104"/>
      <c r="N30" s="104"/>
      <c r="O30" s="104"/>
      <c r="P30" s="104"/>
      <c r="Q30" s="104"/>
      <c r="R30" s="104"/>
    </row>
    <row r="31" spans="1:18" x14ac:dyDescent="0.25">
      <c r="A31" s="44" t="s">
        <v>327</v>
      </c>
      <c r="B31" s="44">
        <v>3</v>
      </c>
      <c r="C31" s="118">
        <v>87</v>
      </c>
      <c r="D31" s="46">
        <v>0</v>
      </c>
      <c r="E31" s="45">
        <v>124</v>
      </c>
      <c r="F31" s="45">
        <f t="shared" si="12"/>
        <v>13.777777777777779</v>
      </c>
      <c r="G31" s="45"/>
      <c r="H31" s="115">
        <f>D31*$N$8</f>
        <v>0</v>
      </c>
      <c r="I31" s="115">
        <v>170</v>
      </c>
      <c r="J31" s="116">
        <f t="shared" si="13"/>
        <v>14.166666666666666</v>
      </c>
      <c r="K31" s="104"/>
      <c r="L31" s="104">
        <f t="shared" si="11"/>
        <v>166.57333333333332</v>
      </c>
      <c r="M31" s="104"/>
      <c r="N31" s="104"/>
      <c r="O31" s="104"/>
      <c r="P31" s="104"/>
      <c r="Q31" s="104"/>
      <c r="R31" s="104"/>
    </row>
    <row r="32" spans="1:18" x14ac:dyDescent="0.25">
      <c r="A32" s="44" t="s">
        <v>269</v>
      </c>
      <c r="B32" s="44">
        <v>3</v>
      </c>
      <c r="C32" s="118">
        <f>71690.25+3053</f>
        <v>74743.25</v>
      </c>
      <c r="D32" s="46">
        <v>28180</v>
      </c>
      <c r="E32" s="45">
        <v>20520</v>
      </c>
      <c r="F32" s="45">
        <f t="shared" si="12"/>
        <v>2280</v>
      </c>
      <c r="G32" s="45"/>
      <c r="H32" s="115">
        <f>D32*$N$6</f>
        <v>1409</v>
      </c>
      <c r="I32" s="115">
        <v>28050</v>
      </c>
      <c r="J32" s="116">
        <f t="shared" si="13"/>
        <v>2337.5</v>
      </c>
      <c r="K32" s="101" t="s">
        <v>566</v>
      </c>
      <c r="L32" s="104">
        <f>I13*5%</f>
        <v>31204.5</v>
      </c>
      <c r="M32" s="104"/>
      <c r="N32" s="104"/>
      <c r="O32" s="104"/>
      <c r="P32" s="104"/>
      <c r="Q32" s="104"/>
      <c r="R32" s="104"/>
    </row>
    <row r="33" spans="1:18" x14ac:dyDescent="0.25">
      <c r="A33" s="44" t="s">
        <v>299</v>
      </c>
      <c r="B33" s="44">
        <v>3</v>
      </c>
      <c r="C33" s="118">
        <f>86765.11+45177</f>
        <v>131942.10999999999</v>
      </c>
      <c r="D33" s="46">
        <v>29860</v>
      </c>
      <c r="E33" s="45">
        <v>26591</v>
      </c>
      <c r="F33" s="45">
        <f t="shared" si="12"/>
        <v>2954.5555555555557</v>
      </c>
      <c r="G33" s="45"/>
      <c r="H33" s="115">
        <f t="shared" ref="H33:H42" si="14">D33*$N$8</f>
        <v>895.8</v>
      </c>
      <c r="I33" s="115">
        <v>35720</v>
      </c>
      <c r="J33" s="116">
        <f t="shared" si="13"/>
        <v>2976.6666666666665</v>
      </c>
      <c r="K33" s="104"/>
      <c r="L33" s="104">
        <f t="shared" si="11"/>
        <v>35720.576666666668</v>
      </c>
      <c r="M33" s="104"/>
      <c r="N33" s="104"/>
      <c r="O33" s="104"/>
      <c r="P33" s="104"/>
      <c r="Q33" s="104"/>
      <c r="R33" s="104"/>
    </row>
    <row r="34" spans="1:18" x14ac:dyDescent="0.25">
      <c r="A34" s="44" t="s">
        <v>244</v>
      </c>
      <c r="B34" s="44"/>
      <c r="C34" s="118"/>
      <c r="D34" s="46">
        <v>0</v>
      </c>
      <c r="E34" s="45">
        <v>1120</v>
      </c>
      <c r="F34" s="45">
        <f t="shared" si="12"/>
        <v>124.44444444444444</v>
      </c>
      <c r="G34" s="45"/>
      <c r="H34" s="115">
        <v>0</v>
      </c>
      <c r="I34" s="115">
        <v>1500</v>
      </c>
      <c r="J34" s="116">
        <v>0</v>
      </c>
      <c r="K34" s="104"/>
      <c r="L34" s="104">
        <f t="shared" si="11"/>
        <v>1504.5333333333333</v>
      </c>
      <c r="M34" s="104"/>
      <c r="N34" s="104"/>
      <c r="O34" s="104"/>
      <c r="P34" s="104"/>
      <c r="Q34" s="104"/>
      <c r="R34" s="104"/>
    </row>
    <row r="35" spans="1:18" x14ac:dyDescent="0.25">
      <c r="A35" s="44" t="s">
        <v>360</v>
      </c>
      <c r="B35" s="44">
        <v>3</v>
      </c>
      <c r="C35" s="118">
        <f>4247.25-1013</f>
        <v>3234.25</v>
      </c>
      <c r="D35" s="46">
        <v>1040</v>
      </c>
      <c r="E35" s="45">
        <v>1507</v>
      </c>
      <c r="F35" s="45">
        <f t="shared" si="12"/>
        <v>167.44444444444446</v>
      </c>
      <c r="G35" s="45"/>
      <c r="H35" s="115">
        <f t="shared" si="14"/>
        <v>31.2</v>
      </c>
      <c r="I35" s="115">
        <v>2020</v>
      </c>
      <c r="J35" s="116">
        <f t="shared" si="13"/>
        <v>168.33333333333334</v>
      </c>
      <c r="K35" s="104"/>
      <c r="L35" s="104">
        <f t="shared" si="11"/>
        <v>2024.4033333333334</v>
      </c>
      <c r="M35" s="104"/>
      <c r="N35" s="104"/>
      <c r="O35" s="104"/>
      <c r="P35" s="104"/>
      <c r="Q35" s="104"/>
      <c r="R35" s="104"/>
    </row>
    <row r="36" spans="1:18" x14ac:dyDescent="0.25">
      <c r="A36" s="44" t="s">
        <v>372</v>
      </c>
      <c r="B36" s="44">
        <v>3</v>
      </c>
      <c r="C36" s="118">
        <f>13284.5+667</f>
        <v>13951.5</v>
      </c>
      <c r="D36" s="46">
        <v>5040</v>
      </c>
      <c r="E36" s="45">
        <v>4318</v>
      </c>
      <c r="F36" s="45">
        <f t="shared" si="12"/>
        <v>479.77777777777777</v>
      </c>
      <c r="G36" s="45"/>
      <c r="H36" s="115">
        <f t="shared" si="14"/>
        <v>151.19999999999999</v>
      </c>
      <c r="I36" s="115">
        <v>5800</v>
      </c>
      <c r="J36" s="116">
        <f t="shared" si="13"/>
        <v>483.33333333333331</v>
      </c>
      <c r="K36" s="104"/>
      <c r="L36" s="104">
        <f t="shared" si="11"/>
        <v>5800.5133333333333</v>
      </c>
      <c r="M36" s="104"/>
      <c r="N36" s="104"/>
      <c r="O36" s="104"/>
      <c r="P36" s="104"/>
      <c r="Q36" s="104"/>
      <c r="R36" s="104"/>
    </row>
    <row r="37" spans="1:18" x14ac:dyDescent="0.25">
      <c r="A37" s="44" t="s">
        <v>331</v>
      </c>
      <c r="B37" s="44">
        <v>3</v>
      </c>
      <c r="C37" s="118">
        <f>1713.84+907</f>
        <v>2620.84</v>
      </c>
      <c r="D37" s="46">
        <v>1810</v>
      </c>
      <c r="E37" s="45">
        <v>1832</v>
      </c>
      <c r="F37" s="45">
        <f t="shared" si="12"/>
        <v>203.55555555555554</v>
      </c>
      <c r="G37" s="45"/>
      <c r="H37" s="115">
        <f t="shared" si="14"/>
        <v>54.3</v>
      </c>
      <c r="I37" s="115">
        <v>2460</v>
      </c>
      <c r="J37" s="116">
        <f t="shared" si="13"/>
        <v>205</v>
      </c>
      <c r="K37" s="104"/>
      <c r="L37" s="104">
        <f t="shared" si="11"/>
        <v>2460.9866666666667</v>
      </c>
      <c r="M37" s="104"/>
      <c r="N37" s="104"/>
      <c r="O37" s="104"/>
      <c r="P37" s="104"/>
      <c r="Q37" s="104"/>
      <c r="R37" s="104"/>
    </row>
    <row r="38" spans="1:18" x14ac:dyDescent="0.25">
      <c r="A38" s="44" t="s">
        <v>332</v>
      </c>
      <c r="B38" s="44">
        <v>3</v>
      </c>
      <c r="C38" s="118">
        <f>755.65+3</f>
        <v>758.65</v>
      </c>
      <c r="D38" s="46">
        <v>230</v>
      </c>
      <c r="E38" s="45">
        <v>830</v>
      </c>
      <c r="F38" s="45">
        <f t="shared" si="12"/>
        <v>92.222222222222229</v>
      </c>
      <c r="G38" s="45"/>
      <c r="H38" s="115">
        <f t="shared" si="14"/>
        <v>6.8999999999999995</v>
      </c>
      <c r="I38" s="115">
        <v>1110</v>
      </c>
      <c r="J38" s="116">
        <f t="shared" si="13"/>
        <v>92.5</v>
      </c>
      <c r="K38" s="104"/>
      <c r="L38" s="104">
        <f t="shared" si="11"/>
        <v>1114.9666666666667</v>
      </c>
      <c r="M38" s="104"/>
      <c r="N38" s="104"/>
      <c r="O38" s="104"/>
      <c r="P38" s="104"/>
      <c r="Q38" s="104"/>
      <c r="R38" s="104"/>
    </row>
    <row r="39" spans="1:18" x14ac:dyDescent="0.25">
      <c r="A39" s="44" t="s">
        <v>271</v>
      </c>
      <c r="B39" s="44">
        <v>3</v>
      </c>
      <c r="C39" s="118">
        <f>6528.88+227</f>
        <v>6755.88</v>
      </c>
      <c r="D39" s="46">
        <v>4460</v>
      </c>
      <c r="E39" s="45">
        <v>2143</v>
      </c>
      <c r="F39" s="45">
        <f t="shared" si="12"/>
        <v>238.11111111111111</v>
      </c>
      <c r="G39" s="45"/>
      <c r="H39" s="115">
        <f t="shared" si="14"/>
        <v>133.79999999999998</v>
      </c>
      <c r="I39" s="115">
        <v>2880</v>
      </c>
      <c r="J39" s="116">
        <f t="shared" si="13"/>
        <v>240</v>
      </c>
      <c r="K39" s="104"/>
      <c r="L39" s="104">
        <f t="shared" si="11"/>
        <v>2878.7633333333333</v>
      </c>
      <c r="M39" s="104"/>
      <c r="N39" s="104"/>
      <c r="O39" s="104"/>
      <c r="P39" s="104"/>
      <c r="Q39" s="104"/>
      <c r="R39" s="104"/>
    </row>
    <row r="40" spans="1:18" x14ac:dyDescent="0.25">
      <c r="A40" s="44" t="s">
        <v>373</v>
      </c>
      <c r="B40" s="44">
        <v>3</v>
      </c>
      <c r="C40" s="118">
        <f>14709.67-4399</f>
        <v>10310.67</v>
      </c>
      <c r="D40" s="46">
        <v>1610</v>
      </c>
      <c r="E40" s="45">
        <v>881</v>
      </c>
      <c r="F40" s="45">
        <f t="shared" si="12"/>
        <v>97.888888888888886</v>
      </c>
      <c r="G40" s="45"/>
      <c r="H40" s="115">
        <f t="shared" si="14"/>
        <v>48.3</v>
      </c>
      <c r="I40" s="115">
        <v>1180</v>
      </c>
      <c r="J40" s="116">
        <f t="shared" si="13"/>
        <v>98.333333333333329</v>
      </c>
      <c r="K40" s="104"/>
      <c r="L40" s="104">
        <f t="shared" si="11"/>
        <v>1183.4766666666667</v>
      </c>
      <c r="M40" s="104"/>
      <c r="N40" s="104"/>
      <c r="O40" s="104"/>
      <c r="P40" s="104"/>
      <c r="Q40" s="104"/>
      <c r="R40" s="104"/>
    </row>
    <row r="41" spans="1:18" x14ac:dyDescent="0.25">
      <c r="A41" s="44" t="s">
        <v>219</v>
      </c>
      <c r="B41" s="44">
        <v>3</v>
      </c>
      <c r="C41" s="118">
        <f>2291.73+4203</f>
        <v>6494.73</v>
      </c>
      <c r="D41" s="46">
        <v>2470</v>
      </c>
      <c r="E41" s="45">
        <v>2033</v>
      </c>
      <c r="F41" s="45">
        <f t="shared" si="12"/>
        <v>225.88888888888889</v>
      </c>
      <c r="G41" s="45"/>
      <c r="H41" s="115">
        <f t="shared" si="14"/>
        <v>74.099999999999994</v>
      </c>
      <c r="I41" s="115">
        <v>2730</v>
      </c>
      <c r="J41" s="116">
        <f t="shared" si="13"/>
        <v>227.5</v>
      </c>
      <c r="K41" s="104"/>
      <c r="L41" s="104">
        <f t="shared" si="11"/>
        <v>2730.9966666666669</v>
      </c>
      <c r="M41" s="104"/>
      <c r="N41" s="104"/>
      <c r="O41" s="104"/>
      <c r="P41" s="104"/>
      <c r="Q41" s="104"/>
      <c r="R41" s="104"/>
    </row>
    <row r="42" spans="1:18" x14ac:dyDescent="0.25">
      <c r="A42" s="44" t="s">
        <v>272</v>
      </c>
      <c r="B42" s="44">
        <v>3</v>
      </c>
      <c r="C42" s="119">
        <f>4190.6+3</f>
        <v>4193.6000000000004</v>
      </c>
      <c r="D42" s="52">
        <v>1460</v>
      </c>
      <c r="E42" s="52">
        <v>2207</v>
      </c>
      <c r="F42" s="52">
        <f>E42/9</f>
        <v>245.22222222222223</v>
      </c>
      <c r="G42" s="52"/>
      <c r="H42" s="142">
        <f t="shared" si="14"/>
        <v>43.8</v>
      </c>
      <c r="I42" s="142">
        <v>2960</v>
      </c>
      <c r="J42" s="120">
        <f t="shared" si="13"/>
        <v>246.66666666666666</v>
      </c>
      <c r="K42" s="104"/>
      <c r="L42" s="104">
        <f t="shared" si="11"/>
        <v>2964.7366666666667</v>
      </c>
      <c r="M42" s="104"/>
      <c r="N42" s="104"/>
      <c r="O42" s="104"/>
      <c r="P42" s="104"/>
      <c r="Q42" s="104"/>
      <c r="R42" s="104"/>
    </row>
    <row r="43" spans="1:18" x14ac:dyDescent="0.25">
      <c r="A43" s="75" t="s">
        <v>81</v>
      </c>
      <c r="B43" s="44"/>
      <c r="C43" s="45">
        <f t="shared" ref="C43" si="15">SUM(C27:C42)</f>
        <v>384687.69999999995</v>
      </c>
      <c r="D43" s="45">
        <f>SUM(D26:D42)</f>
        <v>125310</v>
      </c>
      <c r="E43" s="45">
        <f>SUM(E26:E42)</f>
        <v>98708</v>
      </c>
      <c r="F43" s="45">
        <f>SUM(F26:F42)</f>
        <v>10967.555555555557</v>
      </c>
      <c r="G43" s="45"/>
      <c r="H43" s="115">
        <f>SUM(H26:H42)</f>
        <v>4377.7000000000007</v>
      </c>
      <c r="I43" s="115">
        <f>SUM(I26:I42)</f>
        <v>133120</v>
      </c>
      <c r="J43" s="116">
        <f>SUM(J26:J42)</f>
        <v>10968.333333333334</v>
      </c>
      <c r="K43" s="104"/>
      <c r="L43" s="104"/>
      <c r="M43" s="104"/>
      <c r="N43" s="104"/>
      <c r="O43" s="104"/>
      <c r="P43" s="104"/>
      <c r="Q43" s="104"/>
      <c r="R43" s="104"/>
    </row>
    <row r="44" spans="1:18" x14ac:dyDescent="0.25">
      <c r="A44" s="44"/>
      <c r="B44" s="44"/>
      <c r="C44" s="45"/>
      <c r="D44" s="45"/>
      <c r="E44" s="45"/>
      <c r="F44" s="45"/>
      <c r="G44" s="45"/>
      <c r="H44" s="115"/>
      <c r="I44" s="115"/>
      <c r="J44" s="116"/>
      <c r="K44" s="104"/>
      <c r="L44" s="104"/>
      <c r="M44" s="104"/>
      <c r="N44" s="104"/>
      <c r="O44" s="104"/>
      <c r="P44" s="104"/>
      <c r="Q44" s="104"/>
      <c r="R44" s="104"/>
    </row>
    <row r="45" spans="1:18" x14ac:dyDescent="0.25">
      <c r="A45" s="75" t="s">
        <v>450</v>
      </c>
      <c r="B45" s="44"/>
      <c r="C45" s="45"/>
      <c r="D45" s="45"/>
      <c r="E45" s="45"/>
      <c r="F45" s="45"/>
      <c r="G45" s="45"/>
      <c r="H45" s="115"/>
      <c r="I45" s="115"/>
      <c r="J45" s="116"/>
      <c r="K45" s="104"/>
      <c r="L45" s="104"/>
      <c r="M45" s="104"/>
      <c r="N45" s="104"/>
      <c r="O45" s="104"/>
      <c r="P45" s="104"/>
      <c r="Q45" s="104"/>
      <c r="R45" s="104"/>
    </row>
    <row r="46" spans="1:18" x14ac:dyDescent="0.25">
      <c r="A46" s="44" t="s">
        <v>220</v>
      </c>
      <c r="B46" s="44">
        <v>3</v>
      </c>
      <c r="C46" s="118">
        <f>56950.41+3891</f>
        <v>60841.41</v>
      </c>
      <c r="D46" s="45">
        <v>19750</v>
      </c>
      <c r="E46" s="45">
        <v>15529</v>
      </c>
      <c r="F46" s="45">
        <f>E46/9</f>
        <v>1725.4444444444443</v>
      </c>
      <c r="G46" s="45"/>
      <c r="H46" s="115">
        <f>D46*$M$46</f>
        <v>0</v>
      </c>
      <c r="I46" s="115">
        <v>20860</v>
      </c>
      <c r="J46" s="116">
        <f t="shared" ref="J46:J49" si="16">I46/12</f>
        <v>1738.3333333333333</v>
      </c>
      <c r="K46" s="101" t="s">
        <v>501</v>
      </c>
      <c r="L46" s="104">
        <f>SUM(E46)+(F46*3)*1.03</f>
        <v>20860.623333333333</v>
      </c>
      <c r="M46" s="165"/>
      <c r="N46" s="104"/>
      <c r="O46" s="104"/>
      <c r="P46" s="104"/>
      <c r="Q46" s="104"/>
      <c r="R46" s="104"/>
    </row>
    <row r="47" spans="1:18" x14ac:dyDescent="0.25">
      <c r="A47" s="44" t="s">
        <v>47</v>
      </c>
      <c r="B47" s="44">
        <v>3</v>
      </c>
      <c r="C47" s="118">
        <f>24876.05-105</f>
        <v>24771.05</v>
      </c>
      <c r="D47" s="45">
        <v>8090</v>
      </c>
      <c r="E47" s="45">
        <v>7452</v>
      </c>
      <c r="F47" s="45">
        <f t="shared" ref="F47:F48" si="17">E47/9</f>
        <v>828</v>
      </c>
      <c r="G47" s="45"/>
      <c r="H47" s="115">
        <f>D47*$M$47</f>
        <v>0</v>
      </c>
      <c r="I47" s="115">
        <v>0</v>
      </c>
      <c r="J47" s="116">
        <f t="shared" si="16"/>
        <v>0</v>
      </c>
      <c r="K47" s="101" t="s">
        <v>610</v>
      </c>
      <c r="L47" s="104">
        <f>SUM(E47)+(F47*3)*1.08</f>
        <v>10134.720000000001</v>
      </c>
      <c r="M47" s="165"/>
      <c r="N47" s="104"/>
      <c r="O47" s="104"/>
      <c r="P47" s="104"/>
      <c r="Q47" s="104"/>
      <c r="R47" s="104"/>
    </row>
    <row r="48" spans="1:18" x14ac:dyDescent="0.25">
      <c r="A48" s="44" t="s">
        <v>48</v>
      </c>
      <c r="B48" s="44">
        <v>3</v>
      </c>
      <c r="C48" s="118">
        <f>24845.71+7959</f>
        <v>32804.71</v>
      </c>
      <c r="D48" s="45">
        <v>6860</v>
      </c>
      <c r="E48" s="45">
        <v>4259</v>
      </c>
      <c r="F48" s="45">
        <f t="shared" si="17"/>
        <v>473.22222222222223</v>
      </c>
      <c r="G48" s="45"/>
      <c r="H48" s="115">
        <f>D48*$M$48</f>
        <v>0</v>
      </c>
      <c r="I48" s="115">
        <v>5740</v>
      </c>
      <c r="J48" s="116">
        <f t="shared" si="16"/>
        <v>478.33333333333331</v>
      </c>
      <c r="K48" s="101" t="s">
        <v>533</v>
      </c>
      <c r="L48" s="104">
        <f t="shared" ref="L48" si="18">SUM(E48)+(F48*3)*1.04</f>
        <v>5735.4533333333329</v>
      </c>
      <c r="M48" s="165"/>
      <c r="N48" s="104"/>
      <c r="O48" s="104"/>
      <c r="P48" s="104"/>
      <c r="Q48" s="104"/>
      <c r="R48" s="104"/>
    </row>
    <row r="49" spans="1:18" x14ac:dyDescent="0.25">
      <c r="A49" s="44" t="s">
        <v>49</v>
      </c>
      <c r="B49" s="44">
        <v>3</v>
      </c>
      <c r="C49" s="119">
        <f>12400.96+1541</f>
        <v>13941.96</v>
      </c>
      <c r="D49" s="52">
        <v>4890</v>
      </c>
      <c r="E49" s="52">
        <v>4258</v>
      </c>
      <c r="F49" s="52">
        <f>E49/9</f>
        <v>473.11111111111109</v>
      </c>
      <c r="G49" s="52"/>
      <c r="H49" s="142">
        <f>D49*$M$49</f>
        <v>0</v>
      </c>
      <c r="I49" s="142">
        <v>5750</v>
      </c>
      <c r="J49" s="120">
        <f t="shared" si="16"/>
        <v>479.16666666666669</v>
      </c>
      <c r="K49" s="101" t="s">
        <v>585</v>
      </c>
      <c r="L49" s="104">
        <f>SUM(E49)+(F49*3)*1.05</f>
        <v>5748.3</v>
      </c>
      <c r="M49" s="165"/>
      <c r="N49" s="104"/>
      <c r="O49" s="104"/>
      <c r="P49" s="104"/>
      <c r="Q49" s="104"/>
      <c r="R49" s="104"/>
    </row>
    <row r="50" spans="1:18" x14ac:dyDescent="0.25">
      <c r="A50" s="75" t="s">
        <v>301</v>
      </c>
      <c r="B50" s="44"/>
      <c r="C50" s="45">
        <f>SUM(C46:C49)</f>
        <v>132359.13</v>
      </c>
      <c r="D50" s="45">
        <f>SUM(D46:D49)</f>
        <v>39590</v>
      </c>
      <c r="E50" s="45">
        <f>SUM(E46:E49)</f>
        <v>31498</v>
      </c>
      <c r="F50" s="45">
        <f>SUM(F46:F49)</f>
        <v>3499.7777777777774</v>
      </c>
      <c r="G50" s="45"/>
      <c r="H50" s="115">
        <f>SUM(H46:H49)</f>
        <v>0</v>
      </c>
      <c r="I50" s="115">
        <f>SUM(I46:I49)</f>
        <v>32350</v>
      </c>
      <c r="J50" s="116">
        <f t="shared" si="13"/>
        <v>2695.8333333333335</v>
      </c>
      <c r="K50" s="101"/>
      <c r="L50" s="104"/>
      <c r="M50" s="104"/>
      <c r="N50" s="104"/>
      <c r="O50" s="104"/>
      <c r="P50" s="104"/>
      <c r="Q50" s="104"/>
      <c r="R50" s="104"/>
    </row>
    <row r="51" spans="1:18" x14ac:dyDescent="0.25">
      <c r="A51" s="44"/>
      <c r="B51" s="44"/>
      <c r="C51" s="45"/>
      <c r="D51" s="45"/>
      <c r="E51" s="45"/>
      <c r="F51" s="45"/>
      <c r="G51" s="45"/>
      <c r="H51" s="115"/>
      <c r="I51" s="115"/>
      <c r="J51" s="116"/>
      <c r="K51" s="101"/>
      <c r="L51" s="104"/>
      <c r="M51" s="104"/>
      <c r="N51" s="104"/>
      <c r="O51" s="104"/>
      <c r="P51" s="104"/>
      <c r="Q51" s="104"/>
      <c r="R51" s="104"/>
    </row>
    <row r="52" spans="1:18" x14ac:dyDescent="0.25">
      <c r="A52" s="75" t="s">
        <v>451</v>
      </c>
      <c r="B52" s="44"/>
      <c r="C52" s="45"/>
      <c r="D52" s="45"/>
      <c r="E52" s="45"/>
      <c r="F52" s="45"/>
      <c r="G52" s="45"/>
      <c r="H52" s="115"/>
      <c r="I52" s="115"/>
      <c r="J52" s="116"/>
      <c r="K52" s="101"/>
      <c r="L52" s="104"/>
      <c r="M52" s="104"/>
      <c r="N52" s="104"/>
      <c r="O52" s="104"/>
      <c r="P52" s="104"/>
      <c r="Q52" s="104"/>
      <c r="R52" s="104"/>
    </row>
    <row r="53" spans="1:18" x14ac:dyDescent="0.25">
      <c r="A53" s="44" t="s">
        <v>50</v>
      </c>
      <c r="B53" s="44">
        <v>3</v>
      </c>
      <c r="C53" s="118">
        <f>2921.33+807</f>
        <v>3728.33</v>
      </c>
      <c r="D53" s="46">
        <v>1170</v>
      </c>
      <c r="E53" s="45">
        <v>732</v>
      </c>
      <c r="F53" s="45">
        <f>E53/9</f>
        <v>81.333333333333329</v>
      </c>
      <c r="G53" s="45"/>
      <c r="H53" s="115">
        <f t="shared" ref="H53:H67" si="19">D53*$N$8</f>
        <v>35.1</v>
      </c>
      <c r="I53" s="115">
        <v>980</v>
      </c>
      <c r="J53" s="116">
        <f t="shared" si="13"/>
        <v>81.666666666666671</v>
      </c>
      <c r="K53" s="104"/>
      <c r="L53" s="104">
        <f t="shared" ref="L53:L67" si="20">SUM(E53)+(F53*3)*1.03</f>
        <v>983.31999999999994</v>
      </c>
      <c r="M53" s="104"/>
      <c r="N53" s="104"/>
      <c r="O53" s="104"/>
      <c r="P53" s="104"/>
      <c r="Q53" s="104"/>
      <c r="R53" s="104"/>
    </row>
    <row r="54" spans="1:18" x14ac:dyDescent="0.25">
      <c r="A54" s="44" t="s">
        <v>374</v>
      </c>
      <c r="B54" s="44">
        <v>3</v>
      </c>
      <c r="C54" s="118">
        <f>41613.62+589</f>
        <v>42202.62</v>
      </c>
      <c r="D54" s="46">
        <v>16940</v>
      </c>
      <c r="E54" s="45">
        <v>11361</v>
      </c>
      <c r="F54" s="45">
        <f t="shared" ref="F54:F66" si="21">E54/9</f>
        <v>1262.3333333333333</v>
      </c>
      <c r="G54" s="45"/>
      <c r="H54" s="115">
        <f t="shared" si="19"/>
        <v>508.2</v>
      </c>
      <c r="I54" s="115">
        <v>15260</v>
      </c>
      <c r="J54" s="116">
        <f t="shared" si="13"/>
        <v>1271.6666666666667</v>
      </c>
      <c r="K54" s="104"/>
      <c r="L54" s="104">
        <f t="shared" si="20"/>
        <v>15261.61</v>
      </c>
      <c r="M54" s="104"/>
      <c r="N54" s="104"/>
      <c r="O54" s="104"/>
      <c r="P54" s="104"/>
      <c r="Q54" s="104"/>
      <c r="R54" s="104"/>
    </row>
    <row r="55" spans="1:18" x14ac:dyDescent="0.25">
      <c r="A55" s="44" t="s">
        <v>340</v>
      </c>
      <c r="B55" s="44">
        <v>3</v>
      </c>
      <c r="C55" s="118">
        <f>4277+63</f>
        <v>4340</v>
      </c>
      <c r="D55" s="46">
        <v>840</v>
      </c>
      <c r="E55" s="45">
        <v>12105</v>
      </c>
      <c r="F55" s="45">
        <f t="shared" si="21"/>
        <v>1345</v>
      </c>
      <c r="G55" s="45"/>
      <c r="H55" s="115">
        <f t="shared" si="19"/>
        <v>25.2</v>
      </c>
      <c r="I55" s="115">
        <v>16260</v>
      </c>
      <c r="J55" s="116">
        <f t="shared" si="13"/>
        <v>1355</v>
      </c>
      <c r="K55" s="104"/>
      <c r="L55" s="104">
        <f t="shared" si="20"/>
        <v>16261.05</v>
      </c>
      <c r="M55" s="104"/>
      <c r="N55" s="104"/>
      <c r="O55" s="104"/>
      <c r="P55" s="104"/>
      <c r="Q55" s="104"/>
      <c r="R55" s="104"/>
    </row>
    <row r="56" spans="1:18" x14ac:dyDescent="0.25">
      <c r="A56" s="44" t="s">
        <v>53</v>
      </c>
      <c r="B56" s="44">
        <v>3</v>
      </c>
      <c r="C56" s="118">
        <f>4502.12+1207</f>
        <v>5709.12</v>
      </c>
      <c r="D56" s="46">
        <v>2030</v>
      </c>
      <c r="E56" s="45">
        <v>1370</v>
      </c>
      <c r="F56" s="45">
        <f t="shared" si="21"/>
        <v>152.22222222222223</v>
      </c>
      <c r="G56" s="45"/>
      <c r="H56" s="115">
        <f t="shared" si="19"/>
        <v>60.9</v>
      </c>
      <c r="I56" s="115">
        <v>1840</v>
      </c>
      <c r="J56" s="116">
        <f t="shared" si="13"/>
        <v>153.33333333333334</v>
      </c>
      <c r="K56" s="101" t="s">
        <v>542</v>
      </c>
      <c r="L56" s="104">
        <f>SUM(E56)+(F56*3)*1.04</f>
        <v>1844.9333333333334</v>
      </c>
      <c r="M56" s="104"/>
      <c r="N56" s="104"/>
      <c r="O56" s="104"/>
      <c r="P56" s="104"/>
      <c r="Q56" s="104"/>
      <c r="R56" s="104"/>
    </row>
    <row r="57" spans="1:18" hidden="1" x14ac:dyDescent="0.25">
      <c r="A57" s="44" t="s">
        <v>236</v>
      </c>
      <c r="B57" s="44">
        <v>3</v>
      </c>
      <c r="C57" s="118">
        <f>160.09+713</f>
        <v>873.09</v>
      </c>
      <c r="D57" s="46">
        <v>0</v>
      </c>
      <c r="E57" s="45">
        <f t="shared" ref="E57:E94" si="22">D57/12</f>
        <v>0</v>
      </c>
      <c r="F57" s="45">
        <f t="shared" si="21"/>
        <v>0</v>
      </c>
      <c r="G57" s="45"/>
      <c r="H57" s="115">
        <f t="shared" si="19"/>
        <v>0</v>
      </c>
      <c r="I57" s="115">
        <f t="shared" ref="I57:I93" si="23">D57+H57</f>
        <v>0</v>
      </c>
      <c r="J57" s="116">
        <f t="shared" si="13"/>
        <v>0</v>
      </c>
      <c r="K57" s="104"/>
      <c r="L57" s="104">
        <f t="shared" si="20"/>
        <v>0</v>
      </c>
      <c r="M57" s="104"/>
      <c r="N57" s="104"/>
      <c r="O57" s="104"/>
      <c r="P57" s="104"/>
      <c r="Q57" s="104"/>
      <c r="R57" s="104"/>
    </row>
    <row r="58" spans="1:18" x14ac:dyDescent="0.25">
      <c r="A58" s="44" t="s">
        <v>305</v>
      </c>
      <c r="B58" s="44">
        <v>3</v>
      </c>
      <c r="C58" s="118">
        <f>18486.48+2777</f>
        <v>21263.48</v>
      </c>
      <c r="D58" s="46">
        <v>10680</v>
      </c>
      <c r="E58" s="45">
        <v>9387</v>
      </c>
      <c r="F58" s="45">
        <f t="shared" si="21"/>
        <v>1043</v>
      </c>
      <c r="G58" s="45"/>
      <c r="H58" s="115">
        <f t="shared" si="19"/>
        <v>320.39999999999998</v>
      </c>
      <c r="I58" s="115">
        <v>12610</v>
      </c>
      <c r="J58" s="116">
        <f t="shared" si="13"/>
        <v>1050.8333333333333</v>
      </c>
      <c r="K58" s="101" t="s">
        <v>434</v>
      </c>
      <c r="L58" s="104">
        <f t="shared" si="20"/>
        <v>12609.869999999999</v>
      </c>
      <c r="M58" s="104"/>
      <c r="N58" s="104"/>
      <c r="O58" s="104"/>
      <c r="P58" s="104"/>
      <c r="Q58" s="104"/>
      <c r="R58" s="104"/>
    </row>
    <row r="59" spans="1:18" x14ac:dyDescent="0.25">
      <c r="A59" s="44" t="s">
        <v>248</v>
      </c>
      <c r="B59" s="44">
        <v>3</v>
      </c>
      <c r="C59" s="118">
        <f>56966.48-5005</f>
        <v>51961.48</v>
      </c>
      <c r="D59" s="46">
        <v>14690</v>
      </c>
      <c r="E59" s="45">
        <v>11522</v>
      </c>
      <c r="F59" s="45">
        <f t="shared" si="21"/>
        <v>1280.2222222222222</v>
      </c>
      <c r="G59" s="45"/>
      <c r="H59" s="115">
        <f t="shared" si="19"/>
        <v>440.7</v>
      </c>
      <c r="I59" s="115">
        <v>15480</v>
      </c>
      <c r="J59" s="116">
        <f t="shared" si="13"/>
        <v>1290</v>
      </c>
      <c r="K59" s="101"/>
      <c r="L59" s="104">
        <f t="shared" si="20"/>
        <v>15477.886666666667</v>
      </c>
      <c r="M59" s="104"/>
      <c r="N59" s="104"/>
      <c r="O59" s="104"/>
      <c r="P59" s="104"/>
      <c r="Q59" s="104"/>
      <c r="R59" s="104"/>
    </row>
    <row r="60" spans="1:18" x14ac:dyDescent="0.25">
      <c r="A60" s="44" t="s">
        <v>55</v>
      </c>
      <c r="B60" s="44">
        <v>3</v>
      </c>
      <c r="C60" s="118">
        <f>136422.19-26033</f>
        <v>110389.19</v>
      </c>
      <c r="D60" s="46">
        <v>32210</v>
      </c>
      <c r="E60" s="45">
        <v>52907</v>
      </c>
      <c r="F60" s="45">
        <f t="shared" si="21"/>
        <v>5878.5555555555557</v>
      </c>
      <c r="G60" s="45"/>
      <c r="H60" s="115">
        <f t="shared" si="19"/>
        <v>966.3</v>
      </c>
      <c r="I60" s="115">
        <f>50070+12000</f>
        <v>62070</v>
      </c>
      <c r="J60" s="116">
        <f t="shared" si="13"/>
        <v>5172.5</v>
      </c>
      <c r="K60" s="101" t="s">
        <v>636</v>
      </c>
      <c r="L60" s="104">
        <f t="shared" si="20"/>
        <v>71071.736666666664</v>
      </c>
      <c r="M60" s="104"/>
      <c r="N60" s="104"/>
      <c r="O60" s="104"/>
      <c r="P60" s="104"/>
      <c r="Q60" s="104"/>
      <c r="R60" s="104"/>
    </row>
    <row r="61" spans="1:18" x14ac:dyDescent="0.25">
      <c r="A61" s="44" t="s">
        <v>496</v>
      </c>
      <c r="B61" s="44"/>
      <c r="C61" s="118"/>
      <c r="D61" s="45">
        <v>8000</v>
      </c>
      <c r="E61" s="46">
        <v>4011</v>
      </c>
      <c r="F61" s="46">
        <f t="shared" si="21"/>
        <v>445.66666666666669</v>
      </c>
      <c r="G61" s="46"/>
      <c r="H61" s="57">
        <v>0</v>
      </c>
      <c r="I61" s="57">
        <v>5390</v>
      </c>
      <c r="J61" s="58">
        <f t="shared" si="13"/>
        <v>449.16666666666669</v>
      </c>
      <c r="K61" s="101"/>
      <c r="L61" s="104">
        <f t="shared" si="20"/>
        <v>5388.1100000000006</v>
      </c>
      <c r="M61" s="104"/>
      <c r="N61" s="104"/>
      <c r="O61" s="104"/>
      <c r="P61" s="104"/>
      <c r="Q61" s="104"/>
      <c r="R61" s="104"/>
    </row>
    <row r="62" spans="1:18" x14ac:dyDescent="0.25">
      <c r="A62" s="44" t="s">
        <v>497</v>
      </c>
      <c r="B62" s="44"/>
      <c r="C62" s="118"/>
      <c r="D62" s="45">
        <v>300</v>
      </c>
      <c r="E62" s="46">
        <v>2517</v>
      </c>
      <c r="F62" s="46">
        <f t="shared" si="21"/>
        <v>279.66666666666669</v>
      </c>
      <c r="G62" s="46"/>
      <c r="H62" s="57">
        <v>0</v>
      </c>
      <c r="I62" s="57">
        <v>3380</v>
      </c>
      <c r="J62" s="58">
        <f t="shared" si="13"/>
        <v>281.66666666666669</v>
      </c>
      <c r="K62" s="101"/>
      <c r="L62" s="104">
        <f t="shared" si="20"/>
        <v>3381.17</v>
      </c>
      <c r="M62" s="104"/>
      <c r="N62" s="104"/>
      <c r="O62" s="104"/>
      <c r="P62" s="104"/>
      <c r="Q62" s="104"/>
      <c r="R62" s="104"/>
    </row>
    <row r="63" spans="1:18" x14ac:dyDescent="0.25">
      <c r="A63" s="44" t="s">
        <v>551</v>
      </c>
      <c r="B63" s="44"/>
      <c r="C63" s="118"/>
      <c r="D63" s="45">
        <v>21400</v>
      </c>
      <c r="E63" s="46">
        <v>0</v>
      </c>
      <c r="F63" s="46">
        <f t="shared" si="21"/>
        <v>0</v>
      </c>
      <c r="G63" s="46"/>
      <c r="H63" s="57"/>
      <c r="I63" s="57">
        <v>9000</v>
      </c>
      <c r="J63" s="58">
        <f t="shared" si="13"/>
        <v>750</v>
      </c>
      <c r="K63" s="101" t="s">
        <v>621</v>
      </c>
      <c r="L63" s="104">
        <f t="shared" si="20"/>
        <v>0</v>
      </c>
      <c r="M63" s="104"/>
      <c r="N63" s="104"/>
      <c r="O63" s="104"/>
      <c r="P63" s="104"/>
      <c r="Q63" s="104"/>
      <c r="R63" s="104"/>
    </row>
    <row r="64" spans="1:18" x14ac:dyDescent="0.25">
      <c r="A64" s="44" t="s">
        <v>221</v>
      </c>
      <c r="B64" s="44">
        <v>3</v>
      </c>
      <c r="C64" s="118">
        <f>7778.41+6203</f>
        <v>13981.41</v>
      </c>
      <c r="D64" s="46">
        <v>0</v>
      </c>
      <c r="E64" s="45">
        <v>0</v>
      </c>
      <c r="F64" s="45">
        <f t="shared" si="21"/>
        <v>0</v>
      </c>
      <c r="G64" s="45"/>
      <c r="H64" s="115">
        <v>0</v>
      </c>
      <c r="I64" s="115">
        <v>0</v>
      </c>
      <c r="J64" s="116">
        <f t="shared" si="13"/>
        <v>0</v>
      </c>
      <c r="K64" s="101" t="s">
        <v>571</v>
      </c>
      <c r="L64" s="104">
        <f t="shared" si="20"/>
        <v>0</v>
      </c>
      <c r="M64" s="104"/>
      <c r="N64" s="104"/>
      <c r="O64" s="104"/>
      <c r="P64" s="104"/>
      <c r="Q64" s="104"/>
      <c r="R64" s="104"/>
    </row>
    <row r="65" spans="1:18" x14ac:dyDescent="0.25">
      <c r="A65" s="44" t="s">
        <v>343</v>
      </c>
      <c r="B65" s="44">
        <v>3</v>
      </c>
      <c r="C65" s="118">
        <f>16043.56+1199</f>
        <v>17242.559999999998</v>
      </c>
      <c r="D65" s="46">
        <v>6740</v>
      </c>
      <c r="E65" s="45">
        <v>6183</v>
      </c>
      <c r="F65" s="45">
        <f t="shared" si="21"/>
        <v>687</v>
      </c>
      <c r="G65" s="45"/>
      <c r="H65" s="115">
        <f t="shared" si="19"/>
        <v>202.2</v>
      </c>
      <c r="I65" s="115">
        <v>8300</v>
      </c>
      <c r="J65" s="116">
        <f t="shared" si="13"/>
        <v>691.66666666666663</v>
      </c>
      <c r="K65" s="101"/>
      <c r="L65" s="104">
        <f t="shared" si="20"/>
        <v>8305.83</v>
      </c>
      <c r="M65" s="104"/>
      <c r="N65" s="104"/>
      <c r="O65" s="104"/>
      <c r="P65" s="104"/>
      <c r="Q65" s="104"/>
      <c r="R65" s="104"/>
    </row>
    <row r="66" spans="1:18" x14ac:dyDescent="0.25">
      <c r="A66" s="44" t="s">
        <v>57</v>
      </c>
      <c r="B66" s="44">
        <v>3</v>
      </c>
      <c r="C66" s="118">
        <f>10970.98-3107</f>
        <v>7863.98</v>
      </c>
      <c r="D66" s="46">
        <v>3240</v>
      </c>
      <c r="E66" s="45">
        <v>2025</v>
      </c>
      <c r="F66" s="45">
        <f t="shared" si="21"/>
        <v>225</v>
      </c>
      <c r="G66" s="45"/>
      <c r="H66" s="115">
        <f t="shared" si="19"/>
        <v>97.2</v>
      </c>
      <c r="I66" s="115">
        <v>3570</v>
      </c>
      <c r="J66" s="116">
        <f t="shared" si="13"/>
        <v>297.5</v>
      </c>
      <c r="K66" s="101" t="s">
        <v>600</v>
      </c>
      <c r="L66" s="104">
        <f t="shared" si="20"/>
        <v>2720.25</v>
      </c>
      <c r="M66" s="104"/>
      <c r="N66" s="104"/>
      <c r="O66" s="104"/>
      <c r="P66" s="104"/>
      <c r="Q66" s="104"/>
      <c r="R66" s="104"/>
    </row>
    <row r="67" spans="1:18" x14ac:dyDescent="0.25">
      <c r="A67" s="44" t="s">
        <v>56</v>
      </c>
      <c r="B67" s="44">
        <v>3</v>
      </c>
      <c r="C67" s="119">
        <v>203</v>
      </c>
      <c r="D67" s="52">
        <v>140</v>
      </c>
      <c r="E67" s="52">
        <v>0</v>
      </c>
      <c r="F67" s="52">
        <f>E67/9</f>
        <v>0</v>
      </c>
      <c r="G67" s="52"/>
      <c r="H67" s="142">
        <f t="shared" si="19"/>
        <v>4.2</v>
      </c>
      <c r="I67" s="142">
        <v>140</v>
      </c>
      <c r="J67" s="120">
        <f t="shared" si="13"/>
        <v>11.666666666666666</v>
      </c>
      <c r="K67" s="101"/>
      <c r="L67" s="104">
        <f t="shared" si="20"/>
        <v>0</v>
      </c>
      <c r="M67" s="104"/>
      <c r="N67" s="104"/>
      <c r="O67" s="104"/>
      <c r="P67" s="104"/>
      <c r="Q67" s="104"/>
      <c r="R67" s="104"/>
    </row>
    <row r="68" spans="1:18" x14ac:dyDescent="0.25">
      <c r="A68" s="75" t="s">
        <v>84</v>
      </c>
      <c r="B68" s="44"/>
      <c r="C68" s="45">
        <f>SUM(C53:C67)</f>
        <v>279758.26</v>
      </c>
      <c r="D68" s="45">
        <f>SUM(D53:D67)</f>
        <v>118380</v>
      </c>
      <c r="E68" s="45">
        <f>SUM(E53:E67)</f>
        <v>114120</v>
      </c>
      <c r="F68" s="45">
        <f>SUM(F53:F67)</f>
        <v>12680</v>
      </c>
      <c r="G68" s="45"/>
      <c r="H68" s="115">
        <f>SUM(H53:H67)</f>
        <v>2660.3999999999996</v>
      </c>
      <c r="I68" s="115">
        <f>SUM(I53:I67)</f>
        <v>154280</v>
      </c>
      <c r="J68" s="116">
        <f t="shared" si="13"/>
        <v>12856.666666666666</v>
      </c>
      <c r="K68" s="101"/>
      <c r="L68" s="104"/>
      <c r="M68" s="104"/>
      <c r="N68" s="104"/>
      <c r="O68" s="104"/>
      <c r="P68" s="104"/>
      <c r="Q68" s="104"/>
      <c r="R68" s="104"/>
    </row>
    <row r="69" spans="1:18" x14ac:dyDescent="0.25">
      <c r="A69" s="44"/>
      <c r="B69" s="44"/>
      <c r="C69" s="45"/>
      <c r="D69" s="45"/>
      <c r="E69" s="45"/>
      <c r="F69" s="45"/>
      <c r="G69" s="45"/>
      <c r="H69" s="115"/>
      <c r="I69" s="115"/>
      <c r="J69" s="116"/>
      <c r="K69" s="101"/>
      <c r="L69" s="104"/>
      <c r="M69" s="104"/>
      <c r="N69" s="104"/>
      <c r="O69" s="104"/>
      <c r="P69" s="104"/>
      <c r="Q69" s="104"/>
      <c r="R69" s="104"/>
    </row>
    <row r="70" spans="1:18" x14ac:dyDescent="0.25">
      <c r="A70" s="75" t="s">
        <v>452</v>
      </c>
      <c r="B70" s="44"/>
      <c r="C70" s="45"/>
      <c r="D70" s="45"/>
      <c r="E70" s="45"/>
      <c r="F70" s="45"/>
      <c r="G70" s="45"/>
      <c r="H70" s="115"/>
      <c r="I70" s="115"/>
      <c r="J70" s="116"/>
      <c r="K70" s="101"/>
      <c r="L70" s="104"/>
      <c r="M70" s="104"/>
      <c r="N70" s="104"/>
      <c r="O70" s="104"/>
      <c r="P70" s="104"/>
      <c r="Q70" s="104"/>
      <c r="R70" s="104"/>
    </row>
    <row r="71" spans="1:18" x14ac:dyDescent="0.25">
      <c r="A71" s="44" t="s">
        <v>42</v>
      </c>
      <c r="B71" s="44">
        <v>3</v>
      </c>
      <c r="C71" s="118">
        <f>17857.13-495</f>
        <v>17362.13</v>
      </c>
      <c r="D71" s="46">
        <v>6510</v>
      </c>
      <c r="E71" s="45">
        <v>3781</v>
      </c>
      <c r="F71" s="45">
        <f>E71/9</f>
        <v>420.11111111111109</v>
      </c>
      <c r="G71" s="45"/>
      <c r="H71" s="115">
        <f>D71*$M$71</f>
        <v>498.01499999999999</v>
      </c>
      <c r="I71" s="115">
        <v>5890</v>
      </c>
      <c r="J71" s="116">
        <f t="shared" ref="J71:J76" si="24">I71/12</f>
        <v>490.83333333333331</v>
      </c>
      <c r="K71" s="101" t="s">
        <v>425</v>
      </c>
      <c r="L71" s="104">
        <f>SUM($I$27+$I$33+$I$67)*7.65%</f>
        <v>5887.44</v>
      </c>
      <c r="M71" s="166">
        <v>7.6499999999999999E-2</v>
      </c>
      <c r="N71" s="104"/>
      <c r="O71" s="104"/>
      <c r="P71" s="104"/>
      <c r="Q71" s="104"/>
      <c r="R71" s="104"/>
    </row>
    <row r="72" spans="1:18" x14ac:dyDescent="0.25">
      <c r="A72" s="44" t="s">
        <v>318</v>
      </c>
      <c r="B72" s="44">
        <v>3</v>
      </c>
      <c r="C72" s="118">
        <f>21162.07+4067</f>
        <v>25229.07</v>
      </c>
      <c r="D72" s="46">
        <v>8630</v>
      </c>
      <c r="E72" s="45">
        <v>11477</v>
      </c>
      <c r="F72" s="45">
        <f t="shared" ref="F72:F78" si="25">E72/9</f>
        <v>1275.2222222222222</v>
      </c>
      <c r="G72" s="45"/>
      <c r="H72" s="115">
        <f>D72*$M$72</f>
        <v>431.5</v>
      </c>
      <c r="I72" s="115">
        <v>15490</v>
      </c>
      <c r="J72" s="116">
        <f t="shared" si="24"/>
        <v>1290.8333333333333</v>
      </c>
      <c r="K72" s="101" t="s">
        <v>422</v>
      </c>
      <c r="L72" s="104">
        <f>SUM(E72)+(F72*3)*1.05</f>
        <v>15493.95</v>
      </c>
      <c r="M72" s="165">
        <v>0.05</v>
      </c>
      <c r="N72" s="104"/>
      <c r="O72" s="104"/>
      <c r="P72" s="104"/>
      <c r="Q72" s="104"/>
      <c r="R72" s="104"/>
    </row>
    <row r="73" spans="1:18" x14ac:dyDescent="0.25">
      <c r="A73" s="44" t="s">
        <v>59</v>
      </c>
      <c r="B73" s="44">
        <v>3</v>
      </c>
      <c r="C73" s="118">
        <f>66785.16-8677</f>
        <v>58108.160000000003</v>
      </c>
      <c r="D73" s="46">
        <v>25520</v>
      </c>
      <c r="E73" s="45">
        <v>11736</v>
      </c>
      <c r="F73" s="45">
        <f t="shared" si="25"/>
        <v>1304</v>
      </c>
      <c r="G73" s="45"/>
      <c r="H73" s="115">
        <f>D73*$M$73</f>
        <v>7656</v>
      </c>
      <c r="I73" s="115">
        <v>23090</v>
      </c>
      <c r="J73" s="116">
        <f t="shared" si="24"/>
        <v>1924.1666666666667</v>
      </c>
      <c r="K73" s="101" t="s">
        <v>502</v>
      </c>
      <c r="L73" s="104">
        <f>SUM($I$27+$I$33+$I$67)*30%</f>
        <v>23088</v>
      </c>
      <c r="M73" s="165">
        <v>0.3</v>
      </c>
      <c r="N73" s="104"/>
      <c r="O73" s="104"/>
      <c r="P73" s="104"/>
      <c r="Q73" s="104"/>
      <c r="R73" s="104"/>
    </row>
    <row r="74" spans="1:18" x14ac:dyDescent="0.25">
      <c r="A74" s="44" t="s">
        <v>287</v>
      </c>
      <c r="B74" s="44">
        <v>3</v>
      </c>
      <c r="C74" s="118">
        <f>2231.4+909</f>
        <v>3140.4</v>
      </c>
      <c r="D74" s="46">
        <v>1990</v>
      </c>
      <c r="E74" s="45">
        <v>2384</v>
      </c>
      <c r="F74" s="45">
        <f t="shared" si="25"/>
        <v>264.88888888888891</v>
      </c>
      <c r="G74" s="45"/>
      <c r="H74" s="115">
        <f>D74*$M$46</f>
        <v>0</v>
      </c>
      <c r="I74" s="115">
        <v>2310</v>
      </c>
      <c r="J74" s="116">
        <f t="shared" si="24"/>
        <v>192.5</v>
      </c>
      <c r="K74" s="101" t="s">
        <v>543</v>
      </c>
      <c r="L74" s="104">
        <f>SUM($I$27+$I$33+$I$67)*3%</f>
        <v>2308.7999999999997</v>
      </c>
      <c r="M74" s="104"/>
      <c r="N74" s="104"/>
      <c r="O74" s="104"/>
      <c r="P74" s="104"/>
      <c r="Q74" s="104"/>
      <c r="R74" s="104"/>
    </row>
    <row r="75" spans="1:18" x14ac:dyDescent="0.25">
      <c r="A75" s="44" t="s">
        <v>511</v>
      </c>
      <c r="B75" s="44"/>
      <c r="C75" s="118"/>
      <c r="D75" s="46">
        <v>400</v>
      </c>
      <c r="E75" s="45">
        <v>0</v>
      </c>
      <c r="F75" s="45">
        <f t="shared" si="25"/>
        <v>0</v>
      </c>
      <c r="G75" s="45"/>
      <c r="H75" s="115"/>
      <c r="I75" s="115">
        <v>0</v>
      </c>
      <c r="J75" s="116">
        <f t="shared" si="24"/>
        <v>0</v>
      </c>
      <c r="K75" s="101"/>
      <c r="L75" s="104">
        <f t="shared" ref="L75" si="26">SUM(E75)+(F75*3)*1.03</f>
        <v>0</v>
      </c>
      <c r="M75" s="104"/>
      <c r="N75" s="104"/>
      <c r="O75" s="104"/>
      <c r="P75" s="104"/>
      <c r="Q75" s="104"/>
      <c r="R75" s="104"/>
    </row>
    <row r="76" spans="1:18" x14ac:dyDescent="0.25">
      <c r="A76" s="44" t="s">
        <v>61</v>
      </c>
      <c r="B76" s="44">
        <v>3</v>
      </c>
      <c r="C76" s="45">
        <f>27130.12-1061</f>
        <v>26069.119999999999</v>
      </c>
      <c r="D76" s="45">
        <v>210</v>
      </c>
      <c r="E76" s="45">
        <v>0</v>
      </c>
      <c r="F76" s="45">
        <f t="shared" si="25"/>
        <v>0</v>
      </c>
      <c r="G76" s="45"/>
      <c r="H76" s="115">
        <f t="shared" ref="H76" si="27">D76*$M$9</f>
        <v>0</v>
      </c>
      <c r="I76" s="115">
        <v>100</v>
      </c>
      <c r="J76" s="116">
        <f t="shared" si="24"/>
        <v>8.3333333333333339</v>
      </c>
      <c r="K76" s="101"/>
      <c r="L76" s="104">
        <f t="shared" ref="L76:L77" si="28">SUM(E76)+(F76*3)*1.03</f>
        <v>0</v>
      </c>
      <c r="M76" s="104"/>
      <c r="N76" s="104"/>
      <c r="O76" s="104"/>
      <c r="P76" s="104"/>
      <c r="Q76" s="104"/>
      <c r="R76" s="104"/>
    </row>
    <row r="77" spans="1:18" x14ac:dyDescent="0.25">
      <c r="A77" s="44" t="s">
        <v>346</v>
      </c>
      <c r="B77" s="44">
        <v>3</v>
      </c>
      <c r="C77" s="118">
        <f>220.09+13</f>
        <v>233.09</v>
      </c>
      <c r="D77" s="46">
        <v>50</v>
      </c>
      <c r="E77" s="45">
        <v>187</v>
      </c>
      <c r="F77" s="45">
        <f t="shared" si="25"/>
        <v>20.777777777777779</v>
      </c>
      <c r="G77" s="45"/>
      <c r="H77" s="115">
        <f>D77*$N$8</f>
        <v>1.5</v>
      </c>
      <c r="I77" s="115">
        <v>250</v>
      </c>
      <c r="J77" s="116">
        <f t="shared" si="13"/>
        <v>20.833333333333332</v>
      </c>
      <c r="K77" s="101" t="s">
        <v>347</v>
      </c>
      <c r="L77" s="104">
        <f t="shared" si="28"/>
        <v>251.20333333333332</v>
      </c>
      <c r="M77" s="104"/>
      <c r="N77" s="104"/>
      <c r="O77" s="104"/>
      <c r="P77" s="104"/>
      <c r="Q77" s="104"/>
      <c r="R77" s="104"/>
    </row>
    <row r="78" spans="1:18" x14ac:dyDescent="0.25">
      <c r="A78" s="44" t="s">
        <v>348</v>
      </c>
      <c r="B78" s="44">
        <v>3</v>
      </c>
      <c r="C78" s="118">
        <f>28668.48+32612</f>
        <v>61280.479999999996</v>
      </c>
      <c r="D78" s="46">
        <v>14820</v>
      </c>
      <c r="E78" s="45">
        <v>9877</v>
      </c>
      <c r="F78" s="45">
        <f t="shared" si="25"/>
        <v>1097.4444444444443</v>
      </c>
      <c r="G78" s="45"/>
      <c r="H78" s="115">
        <f>D78*$N$8</f>
        <v>444.59999999999997</v>
      </c>
      <c r="I78" s="115">
        <v>15260</v>
      </c>
      <c r="J78" s="116">
        <f t="shared" si="13"/>
        <v>1271.6666666666667</v>
      </c>
      <c r="K78" s="101" t="s">
        <v>598</v>
      </c>
      <c r="L78" s="104"/>
      <c r="M78" s="104"/>
      <c r="N78" s="104"/>
      <c r="O78" s="104"/>
      <c r="P78" s="104"/>
      <c r="Q78" s="104"/>
      <c r="R78" s="104"/>
    </row>
    <row r="79" spans="1:18" x14ac:dyDescent="0.25">
      <c r="A79" s="44" t="s">
        <v>62</v>
      </c>
      <c r="B79" s="44">
        <v>3</v>
      </c>
      <c r="C79" s="119">
        <v>139481.24</v>
      </c>
      <c r="D79" s="52">
        <v>22560</v>
      </c>
      <c r="E79" s="52">
        <v>15274</v>
      </c>
      <c r="F79" s="52">
        <f>E79/9</f>
        <v>1697.1111111111111</v>
      </c>
      <c r="G79" s="52"/>
      <c r="H79" s="142">
        <v>0</v>
      </c>
      <c r="I79" s="142">
        <v>20360</v>
      </c>
      <c r="J79" s="120">
        <f t="shared" si="13"/>
        <v>1696.6666666666667</v>
      </c>
      <c r="K79" s="101" t="s">
        <v>253</v>
      </c>
      <c r="L79" s="104"/>
      <c r="M79" s="104"/>
      <c r="N79" s="104"/>
      <c r="O79" s="104"/>
      <c r="P79" s="104"/>
      <c r="Q79" s="104"/>
      <c r="R79" s="104"/>
    </row>
    <row r="80" spans="1:18" x14ac:dyDescent="0.25">
      <c r="A80" s="75" t="s">
        <v>85</v>
      </c>
      <c r="B80" s="44"/>
      <c r="C80" s="45">
        <f t="shared" ref="C80:J80" si="29">SUM(C71:C79)</f>
        <v>330903.68999999994</v>
      </c>
      <c r="D80" s="45">
        <f t="shared" si="29"/>
        <v>80690</v>
      </c>
      <c r="E80" s="45">
        <f t="shared" si="29"/>
        <v>54716</v>
      </c>
      <c r="F80" s="45">
        <f>SUM(F71:F79)</f>
        <v>6079.5555555555547</v>
      </c>
      <c r="G80" s="45"/>
      <c r="H80" s="115">
        <f t="shared" si="29"/>
        <v>9031.6149999999998</v>
      </c>
      <c r="I80" s="115">
        <f t="shared" si="29"/>
        <v>82750</v>
      </c>
      <c r="J80" s="116">
        <f t="shared" si="29"/>
        <v>6895.8333333333339</v>
      </c>
      <c r="K80" s="101"/>
      <c r="L80" s="104"/>
      <c r="M80" s="104"/>
      <c r="N80" s="104"/>
      <c r="O80" s="104"/>
      <c r="P80" s="104"/>
      <c r="Q80" s="104"/>
      <c r="R80" s="104"/>
    </row>
    <row r="81" spans="1:18" x14ac:dyDescent="0.25">
      <c r="A81" s="44"/>
      <c r="B81" s="44"/>
      <c r="C81" s="45"/>
      <c r="D81" s="45"/>
      <c r="E81" s="45"/>
      <c r="F81" s="45"/>
      <c r="G81" s="45"/>
      <c r="H81" s="115"/>
      <c r="I81" s="115"/>
      <c r="J81" s="116"/>
      <c r="K81" s="104"/>
      <c r="L81" s="104"/>
      <c r="M81" s="104"/>
      <c r="N81" s="104"/>
      <c r="O81" s="104"/>
      <c r="P81" s="104"/>
      <c r="Q81" s="104"/>
      <c r="R81" s="104"/>
    </row>
    <row r="82" spans="1:18" x14ac:dyDescent="0.25">
      <c r="A82" s="75" t="s">
        <v>454</v>
      </c>
      <c r="B82" s="44"/>
      <c r="C82" s="45"/>
      <c r="D82" s="45"/>
      <c r="E82" s="45"/>
      <c r="F82" s="45"/>
      <c r="G82" s="45"/>
      <c r="H82" s="115"/>
      <c r="I82" s="115"/>
      <c r="J82" s="116"/>
      <c r="K82" s="104"/>
      <c r="L82" s="104"/>
      <c r="M82" s="104"/>
      <c r="N82" s="104"/>
      <c r="O82" s="104"/>
      <c r="P82" s="104"/>
      <c r="Q82" s="104"/>
      <c r="R82" s="104"/>
    </row>
    <row r="83" spans="1:18" x14ac:dyDescent="0.25">
      <c r="A83" s="44" t="s">
        <v>307</v>
      </c>
      <c r="B83" s="44">
        <v>3</v>
      </c>
      <c r="C83" s="118">
        <v>174358.63</v>
      </c>
      <c r="D83" s="46">
        <v>53340</v>
      </c>
      <c r="E83" s="45">
        <v>44854</v>
      </c>
      <c r="F83" s="45">
        <f>E83/9</f>
        <v>4983.7777777777774</v>
      </c>
      <c r="G83" s="45"/>
      <c r="H83" s="115">
        <v>0</v>
      </c>
      <c r="I83" s="115">
        <v>47320</v>
      </c>
      <c r="J83" s="116">
        <f>I83/12</f>
        <v>3943.3333333333335</v>
      </c>
      <c r="K83" s="101" t="s">
        <v>507</v>
      </c>
      <c r="L83" s="104"/>
      <c r="M83" s="104"/>
      <c r="N83" s="104"/>
      <c r="O83" s="104"/>
      <c r="P83" s="104"/>
      <c r="Q83" s="104"/>
      <c r="R83" s="104"/>
    </row>
    <row r="84" spans="1:18" x14ac:dyDescent="0.25">
      <c r="A84" s="44" t="s">
        <v>289</v>
      </c>
      <c r="B84" s="44">
        <v>3</v>
      </c>
      <c r="C84" s="119">
        <v>277977.89</v>
      </c>
      <c r="D84" s="53">
        <v>116290</v>
      </c>
      <c r="E84" s="52">
        <v>96498</v>
      </c>
      <c r="F84" s="52">
        <f>E84/9</f>
        <v>10722</v>
      </c>
      <c r="G84" s="52"/>
      <c r="H84" s="142">
        <v>0</v>
      </c>
      <c r="I84" s="142">
        <v>122310</v>
      </c>
      <c r="J84" s="120">
        <f>I84/12</f>
        <v>10192.5</v>
      </c>
      <c r="K84" s="101" t="s">
        <v>507</v>
      </c>
      <c r="L84" s="104"/>
      <c r="M84" s="104"/>
      <c r="N84" s="104"/>
      <c r="O84" s="104"/>
      <c r="P84" s="104"/>
      <c r="Q84" s="104"/>
      <c r="R84" s="104"/>
    </row>
    <row r="85" spans="1:18" x14ac:dyDescent="0.25">
      <c r="A85" s="75" t="s">
        <v>308</v>
      </c>
      <c r="B85" s="44"/>
      <c r="C85" s="45">
        <f>SUM(C81:C84)</f>
        <v>452336.52</v>
      </c>
      <c r="D85" s="45">
        <f t="shared" ref="D85:J85" si="30">SUM(D81:D84)</f>
        <v>169630</v>
      </c>
      <c r="E85" s="45">
        <f t="shared" si="30"/>
        <v>141352</v>
      </c>
      <c r="F85" s="45">
        <f>SUM(F83:F84)</f>
        <v>15705.777777777777</v>
      </c>
      <c r="G85" s="45"/>
      <c r="H85" s="115">
        <f t="shared" si="30"/>
        <v>0</v>
      </c>
      <c r="I85" s="115">
        <f t="shared" si="30"/>
        <v>169630</v>
      </c>
      <c r="J85" s="116">
        <f t="shared" si="30"/>
        <v>14135.833333333334</v>
      </c>
      <c r="K85" s="101"/>
      <c r="L85" s="104"/>
      <c r="M85" s="104"/>
      <c r="N85" s="104"/>
      <c r="O85" s="104"/>
      <c r="P85" s="104"/>
      <c r="Q85" s="104"/>
      <c r="R85" s="104"/>
    </row>
    <row r="86" spans="1:18" x14ac:dyDescent="0.25">
      <c r="A86" s="44"/>
      <c r="B86" s="44"/>
      <c r="C86" s="118"/>
      <c r="D86" s="118"/>
      <c r="E86" s="118"/>
      <c r="F86" s="118"/>
      <c r="G86" s="118"/>
      <c r="H86" s="115"/>
      <c r="I86" s="115"/>
      <c r="J86" s="116"/>
      <c r="K86" s="104"/>
      <c r="L86" s="104"/>
      <c r="M86" s="104"/>
      <c r="N86" s="104"/>
      <c r="O86" s="104"/>
      <c r="P86" s="104"/>
      <c r="Q86" s="104"/>
      <c r="R86" s="104"/>
    </row>
    <row r="87" spans="1:18" x14ac:dyDescent="0.25">
      <c r="A87" s="75" t="s">
        <v>78</v>
      </c>
      <c r="B87" s="44"/>
      <c r="C87" s="118"/>
      <c r="D87" s="118"/>
      <c r="E87" s="118"/>
      <c r="F87" s="118"/>
      <c r="G87" s="118"/>
      <c r="H87" s="115"/>
      <c r="I87" s="115"/>
      <c r="J87" s="116"/>
      <c r="K87" s="104"/>
      <c r="L87" s="104"/>
      <c r="M87" s="104"/>
      <c r="N87" s="104"/>
      <c r="O87" s="104"/>
      <c r="P87" s="104"/>
      <c r="Q87" s="104"/>
      <c r="R87" s="104"/>
    </row>
    <row r="88" spans="1:18" x14ac:dyDescent="0.25">
      <c r="A88" s="44" t="s">
        <v>63</v>
      </c>
      <c r="B88" s="44">
        <v>3</v>
      </c>
      <c r="C88" s="119">
        <v>35806.879999999997</v>
      </c>
      <c r="D88" s="53">
        <v>13020</v>
      </c>
      <c r="E88" s="52">
        <v>9765</v>
      </c>
      <c r="F88" s="52">
        <f>E88/9</f>
        <v>1085</v>
      </c>
      <c r="G88" s="52"/>
      <c r="H88" s="142">
        <v>0</v>
      </c>
      <c r="I88" s="142">
        <f t="shared" si="23"/>
        <v>13020</v>
      </c>
      <c r="J88" s="120">
        <f t="shared" si="13"/>
        <v>1085</v>
      </c>
      <c r="K88" s="104"/>
      <c r="L88" s="104"/>
      <c r="M88" s="104"/>
      <c r="N88" s="104"/>
      <c r="O88" s="104"/>
      <c r="P88" s="104"/>
      <c r="Q88" s="104"/>
      <c r="R88" s="104"/>
    </row>
    <row r="89" spans="1:18" x14ac:dyDescent="0.25">
      <c r="A89" s="75" t="s">
        <v>86</v>
      </c>
      <c r="B89" s="44"/>
      <c r="C89" s="45">
        <f>SUM(C86:C88)</f>
        <v>35806.879999999997</v>
      </c>
      <c r="D89" s="45">
        <f t="shared" ref="D89:J89" si="31">SUM(D86:D88)</f>
        <v>13020</v>
      </c>
      <c r="E89" s="45">
        <f t="shared" si="31"/>
        <v>9765</v>
      </c>
      <c r="F89" s="45">
        <f>SUM(F88)</f>
        <v>1085</v>
      </c>
      <c r="G89" s="45"/>
      <c r="H89" s="115">
        <f t="shared" si="31"/>
        <v>0</v>
      </c>
      <c r="I89" s="115">
        <f t="shared" si="31"/>
        <v>13020</v>
      </c>
      <c r="J89" s="116">
        <f t="shared" si="31"/>
        <v>1085</v>
      </c>
      <c r="K89" s="101"/>
      <c r="L89" s="104"/>
      <c r="M89" s="104"/>
      <c r="N89" s="104"/>
      <c r="O89" s="104"/>
      <c r="P89" s="104"/>
      <c r="Q89" s="104"/>
      <c r="R89" s="104"/>
    </row>
    <row r="90" spans="1:18" x14ac:dyDescent="0.25">
      <c r="A90" s="75"/>
      <c r="B90" s="44"/>
      <c r="C90" s="45"/>
      <c r="D90" s="45"/>
      <c r="E90" s="45"/>
      <c r="F90" s="45"/>
      <c r="G90" s="45"/>
      <c r="H90" s="115"/>
      <c r="I90" s="115"/>
      <c r="J90" s="116"/>
      <c r="K90" s="104"/>
      <c r="L90" s="104"/>
      <c r="M90" s="104"/>
      <c r="N90" s="104"/>
      <c r="O90" s="104"/>
      <c r="P90" s="104"/>
      <c r="Q90" s="104"/>
      <c r="R90" s="104"/>
    </row>
    <row r="91" spans="1:18" hidden="1" x14ac:dyDescent="0.25">
      <c r="A91" s="44" t="s">
        <v>375</v>
      </c>
      <c r="B91" s="44">
        <v>3</v>
      </c>
      <c r="C91" s="118">
        <v>0</v>
      </c>
      <c r="D91" s="118">
        <f t="shared" ref="D91:D94" si="32">C91/3</f>
        <v>0</v>
      </c>
      <c r="E91" s="118">
        <f t="shared" si="22"/>
        <v>0</v>
      </c>
      <c r="F91" s="118">
        <f t="shared" ref="F91:F94" si="33">E91/9</f>
        <v>0</v>
      </c>
      <c r="G91" s="118"/>
      <c r="H91" s="115">
        <f>D91*$N$8</f>
        <v>0</v>
      </c>
      <c r="I91" s="115">
        <f t="shared" si="23"/>
        <v>0</v>
      </c>
      <c r="J91" s="116">
        <f t="shared" si="13"/>
        <v>0</v>
      </c>
      <c r="K91" s="101"/>
      <c r="L91" s="104"/>
      <c r="M91" s="104"/>
      <c r="N91" s="104"/>
      <c r="O91" s="104"/>
      <c r="P91" s="104"/>
      <c r="Q91" s="104"/>
      <c r="R91" s="104"/>
    </row>
    <row r="92" spans="1:18" hidden="1" x14ac:dyDescent="0.25">
      <c r="A92" s="44" t="s">
        <v>376</v>
      </c>
      <c r="B92" s="44">
        <v>3</v>
      </c>
      <c r="C92" s="118">
        <v>0</v>
      </c>
      <c r="D92" s="118">
        <f t="shared" si="32"/>
        <v>0</v>
      </c>
      <c r="E92" s="118">
        <f t="shared" si="22"/>
        <v>0</v>
      </c>
      <c r="F92" s="118">
        <f t="shared" si="33"/>
        <v>0</v>
      </c>
      <c r="G92" s="118"/>
      <c r="H92" s="115">
        <f>D92*$N$8</f>
        <v>0</v>
      </c>
      <c r="I92" s="115">
        <f t="shared" si="23"/>
        <v>0</v>
      </c>
      <c r="J92" s="116">
        <f t="shared" si="13"/>
        <v>0</v>
      </c>
      <c r="K92" s="104"/>
      <c r="L92" s="104"/>
      <c r="M92" s="104"/>
      <c r="N92" s="104"/>
      <c r="O92" s="104"/>
      <c r="P92" s="104"/>
      <c r="Q92" s="104"/>
      <c r="R92" s="104"/>
    </row>
    <row r="93" spans="1:18" hidden="1" x14ac:dyDescent="0.25">
      <c r="A93" s="44" t="s">
        <v>377</v>
      </c>
      <c r="B93" s="44">
        <v>3</v>
      </c>
      <c r="C93" s="118">
        <v>0</v>
      </c>
      <c r="D93" s="46">
        <f t="shared" si="32"/>
        <v>0</v>
      </c>
      <c r="E93" s="45">
        <f t="shared" si="22"/>
        <v>0</v>
      </c>
      <c r="F93" s="45">
        <f t="shared" si="33"/>
        <v>0</v>
      </c>
      <c r="G93" s="45"/>
      <c r="H93" s="115">
        <f>D93*$N$8</f>
        <v>0</v>
      </c>
      <c r="I93" s="115">
        <f t="shared" si="23"/>
        <v>0</v>
      </c>
      <c r="J93" s="116">
        <f t="shared" si="13"/>
        <v>0</v>
      </c>
      <c r="K93" s="101"/>
      <c r="L93" s="104"/>
      <c r="M93" s="104"/>
      <c r="N93" s="104"/>
      <c r="O93" s="104"/>
      <c r="P93" s="104"/>
      <c r="Q93" s="104"/>
      <c r="R93" s="104"/>
    </row>
    <row r="94" spans="1:18" hidden="1" x14ac:dyDescent="0.25">
      <c r="A94" s="44" t="s">
        <v>378</v>
      </c>
      <c r="B94" s="44">
        <v>3</v>
      </c>
      <c r="C94" s="118">
        <v>0</v>
      </c>
      <c r="D94" s="46">
        <f t="shared" si="32"/>
        <v>0</v>
      </c>
      <c r="E94" s="45">
        <f t="shared" si="22"/>
        <v>0</v>
      </c>
      <c r="F94" s="45">
        <f t="shared" si="33"/>
        <v>0</v>
      </c>
      <c r="G94" s="45"/>
      <c r="H94" s="115">
        <f>D94*$N$8</f>
        <v>0</v>
      </c>
      <c r="I94" s="115">
        <f t="shared" ref="I94" si="34">D94+H94</f>
        <v>0</v>
      </c>
      <c r="J94" s="116">
        <f t="shared" ref="J94:J101" si="35">I94/12</f>
        <v>0</v>
      </c>
      <c r="K94" s="104"/>
      <c r="L94" s="104"/>
      <c r="M94" s="104"/>
      <c r="N94" s="104"/>
      <c r="O94" s="104"/>
      <c r="P94" s="104"/>
      <c r="Q94" s="104"/>
      <c r="R94" s="104"/>
    </row>
    <row r="95" spans="1:18" x14ac:dyDescent="0.25">
      <c r="A95" s="75" t="s">
        <v>453</v>
      </c>
      <c r="B95" s="44"/>
      <c r="C95" s="118"/>
      <c r="D95" s="46"/>
      <c r="E95" s="45"/>
      <c r="F95" s="45"/>
      <c r="G95" s="45"/>
      <c r="H95" s="115"/>
      <c r="I95" s="115"/>
      <c r="J95" s="116"/>
      <c r="K95" s="104"/>
      <c r="L95" s="104"/>
      <c r="M95" s="104"/>
      <c r="N95" s="104"/>
      <c r="O95" s="104"/>
      <c r="P95" s="104"/>
      <c r="Q95" s="104"/>
      <c r="R95" s="104"/>
    </row>
    <row r="96" spans="1:18" x14ac:dyDescent="0.25">
      <c r="A96" s="44" t="s">
        <v>256</v>
      </c>
      <c r="B96" s="44">
        <v>3</v>
      </c>
      <c r="C96" s="118">
        <v>17108</v>
      </c>
      <c r="D96" s="46">
        <v>14000</v>
      </c>
      <c r="E96" s="45">
        <v>0</v>
      </c>
      <c r="F96" s="45">
        <f>E96/9</f>
        <v>0</v>
      </c>
      <c r="G96" s="45"/>
      <c r="H96" s="115">
        <v>0</v>
      </c>
      <c r="I96" s="115">
        <v>0</v>
      </c>
      <c r="J96" s="116">
        <f t="shared" si="35"/>
        <v>0</v>
      </c>
      <c r="K96" s="101"/>
      <c r="L96" s="104"/>
      <c r="M96" s="104"/>
      <c r="N96" s="104"/>
      <c r="O96" s="104"/>
      <c r="P96" s="104"/>
      <c r="Q96" s="104"/>
      <c r="R96" s="104"/>
    </row>
    <row r="97" spans="1:18" x14ac:dyDescent="0.25">
      <c r="A97" s="44" t="s">
        <v>353</v>
      </c>
      <c r="B97" s="44">
        <v>3</v>
      </c>
      <c r="C97" s="118">
        <v>11472</v>
      </c>
      <c r="D97" s="46">
        <v>0</v>
      </c>
      <c r="E97" s="45">
        <v>0</v>
      </c>
      <c r="F97" s="45">
        <f t="shared" ref="F97:F100" si="36">E97/9</f>
        <v>0</v>
      </c>
      <c r="G97" s="45"/>
      <c r="H97" s="115">
        <v>0</v>
      </c>
      <c r="I97" s="115">
        <v>43100</v>
      </c>
      <c r="J97" s="116">
        <f t="shared" si="35"/>
        <v>3591.6666666666665</v>
      </c>
      <c r="K97" s="101" t="s">
        <v>650</v>
      </c>
      <c r="L97" s="104"/>
      <c r="M97" s="104"/>
      <c r="N97" s="104"/>
      <c r="O97" s="104"/>
      <c r="P97" s="104"/>
      <c r="Q97" s="104"/>
      <c r="R97" s="104"/>
    </row>
    <row r="98" spans="1:18" x14ac:dyDescent="0.25">
      <c r="A98" s="44" t="s">
        <v>354</v>
      </c>
      <c r="B98" s="44">
        <v>3</v>
      </c>
      <c r="C98" s="118">
        <v>9276.7099999999991</v>
      </c>
      <c r="D98" s="46">
        <v>7500</v>
      </c>
      <c r="E98" s="45">
        <v>0</v>
      </c>
      <c r="F98" s="45">
        <f t="shared" si="36"/>
        <v>0</v>
      </c>
      <c r="G98" s="45"/>
      <c r="H98" s="115">
        <v>0</v>
      </c>
      <c r="I98" s="115">
        <v>0</v>
      </c>
      <c r="J98" s="116">
        <f t="shared" si="35"/>
        <v>0</v>
      </c>
      <c r="K98" s="101"/>
      <c r="L98" s="104"/>
      <c r="M98" s="104"/>
      <c r="N98" s="104"/>
      <c r="O98" s="104"/>
      <c r="P98" s="104"/>
      <c r="Q98" s="104"/>
      <c r="R98" s="104"/>
    </row>
    <row r="99" spans="1:18" hidden="1" x14ac:dyDescent="0.25">
      <c r="A99" s="44" t="s">
        <v>64</v>
      </c>
      <c r="B99" s="44">
        <v>3</v>
      </c>
      <c r="C99" s="118">
        <v>2466.65</v>
      </c>
      <c r="D99" s="46">
        <v>0</v>
      </c>
      <c r="E99" s="45">
        <f t="shared" ref="E99" si="37">D99/12</f>
        <v>0</v>
      </c>
      <c r="F99" s="45">
        <f t="shared" si="36"/>
        <v>0</v>
      </c>
      <c r="G99" s="45"/>
      <c r="H99" s="115">
        <f>D99*$N$8</f>
        <v>0</v>
      </c>
      <c r="I99" s="115">
        <v>0</v>
      </c>
      <c r="J99" s="116">
        <f t="shared" si="35"/>
        <v>0</v>
      </c>
      <c r="K99" s="101"/>
      <c r="L99" s="104"/>
      <c r="M99" s="104"/>
      <c r="N99" s="104"/>
      <c r="O99" s="104"/>
      <c r="P99" s="104"/>
      <c r="Q99" s="104"/>
      <c r="R99" s="104"/>
    </row>
    <row r="100" spans="1:18" x14ac:dyDescent="0.25">
      <c r="A100" s="44" t="s">
        <v>26</v>
      </c>
      <c r="B100" s="44">
        <v>3</v>
      </c>
      <c r="C100" s="118">
        <v>14856.41</v>
      </c>
      <c r="D100" s="46">
        <v>0</v>
      </c>
      <c r="E100" s="45">
        <v>2721</v>
      </c>
      <c r="F100" s="45">
        <f t="shared" si="36"/>
        <v>302.33333333333331</v>
      </c>
      <c r="G100" s="45"/>
      <c r="H100" s="115">
        <f>D100*$N$8</f>
        <v>0</v>
      </c>
      <c r="I100" s="115">
        <v>0</v>
      </c>
      <c r="J100" s="116">
        <f t="shared" si="35"/>
        <v>0</v>
      </c>
      <c r="K100" s="101"/>
      <c r="L100" s="104"/>
      <c r="M100" s="104"/>
      <c r="N100" s="104"/>
      <c r="O100" s="104"/>
      <c r="P100" s="104"/>
      <c r="Q100" s="104"/>
      <c r="R100" s="104"/>
    </row>
    <row r="101" spans="1:18" x14ac:dyDescent="0.25">
      <c r="A101" s="44" t="s">
        <v>65</v>
      </c>
      <c r="B101" s="44">
        <v>3</v>
      </c>
      <c r="C101" s="119">
        <v>1167.5</v>
      </c>
      <c r="D101" s="53">
        <v>0</v>
      </c>
      <c r="E101" s="52">
        <v>1821</v>
      </c>
      <c r="F101" s="52">
        <f>E101/9</f>
        <v>202.33333333333334</v>
      </c>
      <c r="G101" s="52"/>
      <c r="H101" s="142">
        <v>0</v>
      </c>
      <c r="I101" s="142">
        <v>0</v>
      </c>
      <c r="J101" s="120">
        <f t="shared" si="35"/>
        <v>0</v>
      </c>
      <c r="K101" s="101"/>
      <c r="L101" s="104"/>
      <c r="M101" s="104"/>
      <c r="N101" s="104"/>
      <c r="O101" s="104"/>
      <c r="P101" s="104"/>
      <c r="Q101" s="104"/>
      <c r="R101" s="104"/>
    </row>
    <row r="102" spans="1:18" ht="15.75" thickBot="1" x14ac:dyDescent="0.3">
      <c r="A102" s="75" t="s">
        <v>314</v>
      </c>
      <c r="B102" s="44"/>
      <c r="C102" s="45">
        <f>SUM(C93:C101)</f>
        <v>56347.270000000004</v>
      </c>
      <c r="D102" s="45">
        <f t="shared" ref="D102:E102" si="38">SUM(D93:D101)</f>
        <v>21500</v>
      </c>
      <c r="E102" s="45">
        <f t="shared" si="38"/>
        <v>4542</v>
      </c>
      <c r="F102" s="45">
        <f>SUM(F90:F101)</f>
        <v>504.66666666666663</v>
      </c>
      <c r="G102" s="45"/>
      <c r="H102" s="143">
        <f>SUM(H93:H101)</f>
        <v>0</v>
      </c>
      <c r="I102" s="97">
        <f>SUM(I93:I101)</f>
        <v>43100</v>
      </c>
      <c r="J102" s="98">
        <f>SUM(J93:J101)</f>
        <v>3591.6666666666665</v>
      </c>
      <c r="K102" s="101"/>
      <c r="L102" s="104"/>
      <c r="M102" s="104"/>
      <c r="N102" s="104"/>
      <c r="O102" s="104"/>
      <c r="P102" s="104"/>
      <c r="Q102" s="104"/>
      <c r="R102" s="104"/>
    </row>
    <row r="103" spans="1:18" x14ac:dyDescent="0.25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1"/>
      <c r="L103" s="104"/>
      <c r="M103" s="104"/>
      <c r="N103" s="104"/>
      <c r="O103" s="104"/>
      <c r="P103" s="104"/>
      <c r="Q103" s="104"/>
      <c r="R103" s="104"/>
    </row>
    <row r="104" spans="1:18" x14ac:dyDescent="0.25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</row>
  </sheetData>
  <customSheetViews>
    <customSheetView guid="{D54A66AC-88E3-46FB-AFE3-2E559F565FEB}" scale="90" hiddenRows="1" hiddenColumns="1">
      <pane xSplit="2" ySplit="4" topLeftCell="D37" activePane="bottomRight" state="frozen"/>
      <selection pane="bottomRight" activeCell="I58" sqref="I58"/>
      <rowBreaks count="1" manualBreakCount="1">
        <brk id="90" max="10" man="1"/>
      </rowBreaks>
      <pageMargins left="0.75" right="0.75" top="1" bottom="1" header="0.5" footer="0.5"/>
      <pageSetup scale="47" fitToHeight="2" orientation="portrait" r:id="rId1"/>
      <headerFooter alignWithMargins="0"/>
    </customSheetView>
  </customSheetViews>
  <pageMargins left="0.75" right="0.75" top="1" bottom="1" header="0.5" footer="0.5"/>
  <pageSetup scale="47" fitToHeight="2" orientation="portrait" r:id="rId2"/>
  <headerFooter alignWithMargins="0"/>
  <rowBreaks count="1" manualBreakCount="1">
    <brk id="9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5"/>
  <sheetViews>
    <sheetView zoomScale="80" zoomScaleNormal="80" workbookViewId="0">
      <pane xSplit="3" ySplit="4" topLeftCell="D49" activePane="bottomRight" state="frozen"/>
      <selection activeCell="A180" sqref="A180"/>
      <selection pane="topRight" activeCell="A180" sqref="A180"/>
      <selection pane="bottomLeft" activeCell="A180" sqref="A180"/>
      <selection pane="bottomRight" activeCell="L1" sqref="L1:O1048576"/>
    </sheetView>
  </sheetViews>
  <sheetFormatPr defaultRowHeight="15" x14ac:dyDescent="0.25"/>
  <cols>
    <col min="1" max="1" width="55" bestFit="1" customWidth="1"/>
    <col min="2" max="2" width="9.140625" hidden="1" customWidth="1"/>
    <col min="3" max="3" width="11.140625" hidden="1" customWidth="1"/>
    <col min="4" max="4" width="15.42578125" bestFit="1" customWidth="1"/>
    <col min="5" max="5" width="12.85546875" bestFit="1" customWidth="1"/>
    <col min="6" max="6" width="11.42578125" customWidth="1"/>
    <col min="7" max="7" width="4.140625" customWidth="1"/>
    <col min="8" max="8" width="0" hidden="1" customWidth="1"/>
    <col min="9" max="9" width="23.5703125" customWidth="1"/>
    <col min="10" max="10" width="12.85546875" bestFit="1" customWidth="1"/>
    <col min="11" max="11" width="55.5703125" customWidth="1"/>
    <col min="12" max="12" width="12.42578125" hidden="1" customWidth="1"/>
    <col min="13" max="15" width="0" hidden="1" customWidth="1"/>
  </cols>
  <sheetData>
    <row r="1" spans="1:15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'Redwood Village'!I1</f>
        <v>Projected Annual Budget 2017</v>
      </c>
      <c r="J1" s="125"/>
      <c r="K1" s="108"/>
      <c r="L1" s="104"/>
      <c r="M1" s="104"/>
      <c r="N1" s="104"/>
      <c r="O1" s="104"/>
    </row>
    <row r="2" spans="1:15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1" t="s">
        <v>589</v>
      </c>
      <c r="L2" s="104"/>
      <c r="M2" s="104"/>
      <c r="N2" s="104"/>
      <c r="O2" s="104"/>
    </row>
    <row r="3" spans="1:15" ht="21" thickBot="1" x14ac:dyDescent="0.35">
      <c r="A3" s="99" t="s">
        <v>659</v>
      </c>
      <c r="B3" s="104"/>
      <c r="C3" s="104"/>
      <c r="D3" s="109"/>
      <c r="E3" s="104"/>
      <c r="F3" s="104"/>
      <c r="G3" s="104"/>
      <c r="H3" s="104"/>
      <c r="I3" s="110"/>
      <c r="J3" s="95"/>
      <c r="K3" s="101" t="s">
        <v>638</v>
      </c>
      <c r="L3" s="104"/>
      <c r="M3" s="104"/>
      <c r="N3" s="104"/>
      <c r="O3" s="104"/>
    </row>
    <row r="4" spans="1:15" s="29" customFormat="1" ht="45.75" thickBot="1" x14ac:dyDescent="0.3">
      <c r="A4" s="39" t="s">
        <v>71</v>
      </c>
      <c r="B4" s="39" t="s">
        <v>72</v>
      </c>
      <c r="C4" s="39" t="s">
        <v>73</v>
      </c>
      <c r="D4" s="40" t="str">
        <f>'Redwood Village'!D4</f>
        <v>2016 Annual Budget</v>
      </c>
      <c r="E4" s="40" t="str">
        <f>'Redwood Village'!E4</f>
        <v>YTD Actual FY 2016 @ 9/30/16</v>
      </c>
      <c r="F4" s="40" t="str">
        <f>'Redwood Village'!F4</f>
        <v>FY 2016 - 9 month Avg</v>
      </c>
      <c r="G4" s="126"/>
      <c r="H4" s="111"/>
      <c r="I4" s="127" t="s">
        <v>427</v>
      </c>
      <c r="J4" s="113" t="s">
        <v>428</v>
      </c>
      <c r="K4" s="133"/>
      <c r="L4" s="41"/>
      <c r="M4" s="41"/>
      <c r="N4" s="41"/>
      <c r="O4" s="41"/>
    </row>
    <row r="5" spans="1:15" x14ac:dyDescent="0.25">
      <c r="A5" s="44" t="s">
        <v>33</v>
      </c>
      <c r="B5" s="44">
        <v>3</v>
      </c>
      <c r="C5" s="45">
        <f>-701865-198165</f>
        <v>-900030</v>
      </c>
      <c r="D5" s="46">
        <v>326100</v>
      </c>
      <c r="E5" s="46">
        <v>247786</v>
      </c>
      <c r="F5" s="46">
        <f>E5/9</f>
        <v>27531.777777777777</v>
      </c>
      <c r="G5" s="46"/>
      <c r="H5" s="57">
        <v>0</v>
      </c>
      <c r="I5" s="134">
        <v>332860</v>
      </c>
      <c r="J5" s="159">
        <f>I5/12</f>
        <v>27738.333333333332</v>
      </c>
      <c r="K5" s="152"/>
      <c r="L5" s="104">
        <f t="shared" ref="L5:L15" si="0">SUM(E5)+(F5*3)*1.03</f>
        <v>332859.19333333336</v>
      </c>
      <c r="M5" s="104"/>
      <c r="N5" s="109" t="s">
        <v>74</v>
      </c>
      <c r="O5" s="104"/>
    </row>
    <row r="6" spans="1:15" x14ac:dyDescent="0.25">
      <c r="A6" s="44" t="s">
        <v>322</v>
      </c>
      <c r="B6" s="44">
        <v>3</v>
      </c>
      <c r="C6" s="45">
        <f>-783167-360733</f>
        <v>-1143900</v>
      </c>
      <c r="D6" s="46">
        <v>370160</v>
      </c>
      <c r="E6" s="46">
        <v>274757</v>
      </c>
      <c r="F6" s="46">
        <f t="shared" ref="F6:F14" si="1">E6/9</f>
        <v>30528.555555555555</v>
      </c>
      <c r="G6" s="46"/>
      <c r="H6" s="57">
        <v>0</v>
      </c>
      <c r="I6" s="57">
        <v>369090</v>
      </c>
      <c r="J6" s="160">
        <f>I6/12</f>
        <v>30757.5</v>
      </c>
      <c r="K6" s="104"/>
      <c r="L6" s="104">
        <f t="shared" si="0"/>
        <v>369090.23666666669</v>
      </c>
      <c r="M6" s="104"/>
      <c r="N6" s="161">
        <v>6.3E-2</v>
      </c>
      <c r="O6" s="104"/>
    </row>
    <row r="7" spans="1:15" x14ac:dyDescent="0.25">
      <c r="A7" s="44" t="s">
        <v>34</v>
      </c>
      <c r="B7" s="44">
        <v>3</v>
      </c>
      <c r="C7" s="45">
        <f>28237.76+9336</f>
        <v>37573.759999999995</v>
      </c>
      <c r="D7" s="46">
        <v>-6520</v>
      </c>
      <c r="E7" s="46">
        <v>-9841</v>
      </c>
      <c r="F7" s="46">
        <f t="shared" si="1"/>
        <v>-1093.4444444444443</v>
      </c>
      <c r="G7" s="46"/>
      <c r="H7" s="57">
        <v>0</v>
      </c>
      <c r="I7" s="57">
        <v>-6660</v>
      </c>
      <c r="J7" s="160">
        <f t="shared" ref="J7:J15" si="2">I7/12</f>
        <v>-555</v>
      </c>
      <c r="K7" s="101" t="s">
        <v>568</v>
      </c>
      <c r="L7" s="104">
        <f>I5*2%</f>
        <v>6657.2</v>
      </c>
      <c r="M7" s="104"/>
      <c r="N7" s="109" t="s">
        <v>392</v>
      </c>
      <c r="O7" s="104"/>
    </row>
    <row r="8" spans="1:15" x14ac:dyDescent="0.25">
      <c r="A8" s="44" t="s">
        <v>35</v>
      </c>
      <c r="B8" s="44">
        <v>3</v>
      </c>
      <c r="C8" s="45">
        <f>-945.32+71</f>
        <v>-874.32</v>
      </c>
      <c r="D8" s="46">
        <v>310</v>
      </c>
      <c r="E8" s="46">
        <v>191</v>
      </c>
      <c r="F8" s="46">
        <f t="shared" si="1"/>
        <v>21.222222222222221</v>
      </c>
      <c r="G8" s="46"/>
      <c r="H8" s="57">
        <v>0</v>
      </c>
      <c r="I8" s="57">
        <v>260</v>
      </c>
      <c r="J8" s="160">
        <f t="shared" si="2"/>
        <v>21.666666666666668</v>
      </c>
      <c r="K8" s="101"/>
      <c r="L8" s="104">
        <f t="shared" si="0"/>
        <v>256.57666666666665</v>
      </c>
      <c r="M8" s="104"/>
      <c r="N8" s="152">
        <v>0.03</v>
      </c>
      <c r="O8" s="104"/>
    </row>
    <row r="9" spans="1:15" x14ac:dyDescent="0.25">
      <c r="A9" s="44" t="s">
        <v>323</v>
      </c>
      <c r="B9" s="44">
        <v>3</v>
      </c>
      <c r="C9" s="45">
        <v>0</v>
      </c>
      <c r="D9" s="46">
        <v>20</v>
      </c>
      <c r="E9" s="46">
        <v>10</v>
      </c>
      <c r="F9" s="46">
        <f t="shared" si="1"/>
        <v>1.1111111111111112</v>
      </c>
      <c r="G9" s="46"/>
      <c r="H9" s="57">
        <f t="shared" ref="H9:H15" si="3">D9*$N$8</f>
        <v>0.6</v>
      </c>
      <c r="I9" s="57">
        <v>20</v>
      </c>
      <c r="J9" s="160">
        <f t="shared" si="2"/>
        <v>1.6666666666666667</v>
      </c>
      <c r="K9" s="101"/>
      <c r="L9" s="104">
        <f t="shared" si="0"/>
        <v>13.433333333333334</v>
      </c>
      <c r="M9" s="104"/>
      <c r="N9" s="104"/>
      <c r="O9" s="104"/>
    </row>
    <row r="10" spans="1:15" x14ac:dyDescent="0.25">
      <c r="A10" s="44" t="s">
        <v>324</v>
      </c>
      <c r="B10" s="44">
        <v>3</v>
      </c>
      <c r="C10" s="45">
        <v>0</v>
      </c>
      <c r="D10" s="46">
        <v>70</v>
      </c>
      <c r="E10" s="46">
        <v>51</v>
      </c>
      <c r="F10" s="46">
        <f t="shared" si="1"/>
        <v>5.666666666666667</v>
      </c>
      <c r="G10" s="46"/>
      <c r="H10" s="57">
        <f t="shared" si="3"/>
        <v>2.1</v>
      </c>
      <c r="I10" s="57">
        <v>70</v>
      </c>
      <c r="J10" s="160">
        <f t="shared" si="2"/>
        <v>5.833333333333333</v>
      </c>
      <c r="K10" s="101"/>
      <c r="L10" s="104">
        <f t="shared" si="0"/>
        <v>68.510000000000005</v>
      </c>
      <c r="M10" s="104"/>
      <c r="N10" s="104"/>
      <c r="O10" s="104"/>
    </row>
    <row r="11" spans="1:15" x14ac:dyDescent="0.25">
      <c r="A11" s="44" t="s">
        <v>325</v>
      </c>
      <c r="B11" s="44">
        <v>3</v>
      </c>
      <c r="C11" s="45">
        <v>0</v>
      </c>
      <c r="D11" s="46">
        <v>0</v>
      </c>
      <c r="E11" s="46">
        <f t="shared" ref="E11" si="4">D11/12</f>
        <v>0</v>
      </c>
      <c r="F11" s="46">
        <f t="shared" si="1"/>
        <v>0</v>
      </c>
      <c r="G11" s="46"/>
      <c r="H11" s="57">
        <f t="shared" si="3"/>
        <v>0</v>
      </c>
      <c r="I11" s="57">
        <v>0</v>
      </c>
      <c r="J11" s="160">
        <f t="shared" si="2"/>
        <v>0</v>
      </c>
      <c r="K11" s="101"/>
      <c r="L11" s="104">
        <f t="shared" si="0"/>
        <v>0</v>
      </c>
      <c r="M11" s="104"/>
      <c r="N11" s="104"/>
      <c r="O11" s="104"/>
    </row>
    <row r="12" spans="1:15" x14ac:dyDescent="0.25">
      <c r="A12" s="44" t="s">
        <v>294</v>
      </c>
      <c r="B12" s="44">
        <v>3</v>
      </c>
      <c r="C12" s="45">
        <f>-9153.68-2003</f>
        <v>-11156.68</v>
      </c>
      <c r="D12" s="46">
        <v>4180</v>
      </c>
      <c r="E12" s="46">
        <v>2773</v>
      </c>
      <c r="F12" s="46">
        <f t="shared" si="1"/>
        <v>308.11111111111109</v>
      </c>
      <c r="G12" s="46"/>
      <c r="H12" s="57">
        <v>0</v>
      </c>
      <c r="I12" s="57">
        <v>3730</v>
      </c>
      <c r="J12" s="160">
        <f t="shared" si="2"/>
        <v>310.83333333333331</v>
      </c>
      <c r="K12" s="101"/>
      <c r="L12" s="104">
        <f t="shared" si="0"/>
        <v>3725.0633333333335</v>
      </c>
      <c r="M12" s="104"/>
      <c r="N12" s="104"/>
      <c r="O12" s="104"/>
    </row>
    <row r="13" spans="1:15" x14ac:dyDescent="0.25">
      <c r="A13" s="44" t="s">
        <v>624</v>
      </c>
      <c r="B13" s="44"/>
      <c r="C13" s="45"/>
      <c r="D13" s="46">
        <v>0</v>
      </c>
      <c r="E13" s="46">
        <v>0</v>
      </c>
      <c r="F13" s="46">
        <f t="shared" si="1"/>
        <v>0</v>
      </c>
      <c r="G13" s="46"/>
      <c r="H13" s="57"/>
      <c r="I13" s="57">
        <v>5000</v>
      </c>
      <c r="J13" s="160">
        <f t="shared" si="2"/>
        <v>416.66666666666669</v>
      </c>
      <c r="K13" s="101" t="s">
        <v>651</v>
      </c>
      <c r="L13" s="104">
        <f t="shared" si="0"/>
        <v>0</v>
      </c>
      <c r="M13" s="104"/>
      <c r="N13" s="104"/>
      <c r="O13" s="104"/>
    </row>
    <row r="14" spans="1:15" x14ac:dyDescent="0.25">
      <c r="A14" s="44" t="s">
        <v>37</v>
      </c>
      <c r="B14" s="44">
        <v>3</v>
      </c>
      <c r="C14" s="45">
        <f>-366.33-41</f>
        <v>-407.33</v>
      </c>
      <c r="D14" s="46">
        <v>3800</v>
      </c>
      <c r="E14" s="46">
        <v>163</v>
      </c>
      <c r="F14" s="46">
        <f t="shared" si="1"/>
        <v>18.111111111111111</v>
      </c>
      <c r="G14" s="46"/>
      <c r="H14" s="57">
        <v>0</v>
      </c>
      <c r="I14" s="57">
        <v>160</v>
      </c>
      <c r="J14" s="160">
        <f t="shared" si="2"/>
        <v>13.333333333333334</v>
      </c>
      <c r="K14" s="101"/>
      <c r="L14" s="104">
        <f t="shared" si="0"/>
        <v>218.96333333333334</v>
      </c>
      <c r="M14" s="104"/>
      <c r="N14" s="104"/>
      <c r="O14" s="104"/>
    </row>
    <row r="15" spans="1:15" x14ac:dyDescent="0.25">
      <c r="A15" s="44" t="s">
        <v>212</v>
      </c>
      <c r="B15" s="44">
        <v>3</v>
      </c>
      <c r="C15" s="52">
        <f>-6264.8-84</f>
        <v>-6348.8</v>
      </c>
      <c r="D15" s="53">
        <v>500</v>
      </c>
      <c r="E15" s="53">
        <v>1352</v>
      </c>
      <c r="F15" s="53">
        <f>E15/9</f>
        <v>150.22222222222223</v>
      </c>
      <c r="G15" s="53"/>
      <c r="H15" s="137">
        <f t="shared" si="3"/>
        <v>15</v>
      </c>
      <c r="I15" s="137">
        <v>1820</v>
      </c>
      <c r="J15" s="157">
        <f t="shared" si="2"/>
        <v>151.66666666666666</v>
      </c>
      <c r="K15" s="101" t="s">
        <v>431</v>
      </c>
      <c r="L15" s="104">
        <f t="shared" si="0"/>
        <v>1816.1866666666667</v>
      </c>
      <c r="M15" s="104"/>
      <c r="N15" s="104"/>
      <c r="O15" s="104"/>
    </row>
    <row r="16" spans="1:15" x14ac:dyDescent="0.25">
      <c r="A16" s="75" t="s">
        <v>75</v>
      </c>
      <c r="B16" s="44"/>
      <c r="C16" s="45">
        <f>SUM(C5:C15)</f>
        <v>-2025143.37</v>
      </c>
      <c r="D16" s="46">
        <f t="shared" ref="D16:E16" si="5">SUM(D5:D15)</f>
        <v>698620</v>
      </c>
      <c r="E16" s="46">
        <f t="shared" si="5"/>
        <v>517242</v>
      </c>
      <c r="F16" s="46">
        <f>SUM(F5:F15)</f>
        <v>57471.333333333314</v>
      </c>
      <c r="G16" s="46"/>
      <c r="H16" s="57">
        <f>SUM(H5:H15)</f>
        <v>17.7</v>
      </c>
      <c r="I16" s="57">
        <f t="shared" ref="I16:J16" si="6">SUM(I5:I15)</f>
        <v>706350</v>
      </c>
      <c r="J16" s="58">
        <f t="shared" si="6"/>
        <v>58862.499999999993</v>
      </c>
      <c r="K16" s="101"/>
      <c r="L16" s="104"/>
      <c r="M16" s="104"/>
      <c r="N16" s="104"/>
      <c r="O16" s="104"/>
    </row>
    <row r="17" spans="1:15" x14ac:dyDescent="0.25">
      <c r="A17" s="44"/>
      <c r="B17" s="44"/>
      <c r="C17" s="45"/>
      <c r="D17" s="46"/>
      <c r="E17" s="46"/>
      <c r="F17" s="46"/>
      <c r="G17" s="46"/>
      <c r="H17" s="57"/>
      <c r="I17" s="57"/>
      <c r="J17" s="58"/>
      <c r="K17" s="101"/>
      <c r="L17" s="104"/>
      <c r="M17" s="104"/>
      <c r="N17" s="104"/>
      <c r="O17" s="104"/>
    </row>
    <row r="18" spans="1:15" x14ac:dyDescent="0.25">
      <c r="A18" s="44" t="s">
        <v>76</v>
      </c>
      <c r="B18" s="44"/>
      <c r="C18" s="45">
        <f>C46</f>
        <v>509229.22000000003</v>
      </c>
      <c r="D18" s="46">
        <f>-D46</f>
        <v>-167330</v>
      </c>
      <c r="E18" s="46">
        <f>-E46</f>
        <v>-134122</v>
      </c>
      <c r="F18" s="46">
        <f>E18/9</f>
        <v>-14902.444444444445</v>
      </c>
      <c r="G18" s="46"/>
      <c r="H18" s="57">
        <f>H46</f>
        <v>3700.1999999999994</v>
      </c>
      <c r="I18" s="57">
        <f>-I46</f>
        <v>-165150</v>
      </c>
      <c r="J18" s="58">
        <f>-J46</f>
        <v>-13762.5</v>
      </c>
      <c r="K18" s="101"/>
      <c r="L18" s="104"/>
      <c r="M18" s="104"/>
      <c r="N18" s="104"/>
      <c r="O18" s="104"/>
    </row>
    <row r="19" spans="1:15" x14ac:dyDescent="0.25">
      <c r="A19" s="44" t="s">
        <v>83</v>
      </c>
      <c r="B19" s="44"/>
      <c r="C19" s="45">
        <f>C53</f>
        <v>229786.77</v>
      </c>
      <c r="D19" s="46">
        <f>-D53</f>
        <v>-73270</v>
      </c>
      <c r="E19" s="46">
        <f>-E53</f>
        <v>-49948</v>
      </c>
      <c r="F19" s="46">
        <f t="shared" ref="F19:F22" si="7">E19/9</f>
        <v>-5549.7777777777774</v>
      </c>
      <c r="G19" s="46"/>
      <c r="H19" s="57">
        <f>H53</f>
        <v>0</v>
      </c>
      <c r="I19" s="57">
        <f>-I53</f>
        <v>-67340</v>
      </c>
      <c r="J19" s="58">
        <f>-J53</f>
        <v>-5611.666666666667</v>
      </c>
      <c r="K19" s="101"/>
      <c r="L19" s="104"/>
      <c r="M19" s="104"/>
      <c r="N19" s="104"/>
      <c r="O19" s="104"/>
    </row>
    <row r="20" spans="1:15" x14ac:dyDescent="0.25">
      <c r="A20" s="44" t="s">
        <v>88</v>
      </c>
      <c r="B20" s="44"/>
      <c r="C20" s="45">
        <f>C69</f>
        <v>485651.50999999995</v>
      </c>
      <c r="D20" s="46">
        <f>-D69</f>
        <v>-168210</v>
      </c>
      <c r="E20" s="46">
        <f>-E69</f>
        <v>-116132</v>
      </c>
      <c r="F20" s="46">
        <f t="shared" si="7"/>
        <v>-12903.555555555555</v>
      </c>
      <c r="G20" s="46"/>
      <c r="H20" s="57">
        <f>H69</f>
        <v>4191.2999999999993</v>
      </c>
      <c r="I20" s="57">
        <f>-I69</f>
        <v>-179890</v>
      </c>
      <c r="J20" s="58">
        <f>-J69</f>
        <v>-14990.833333333334</v>
      </c>
      <c r="K20" s="101"/>
      <c r="L20" s="104"/>
      <c r="M20" s="104"/>
      <c r="N20" s="104"/>
      <c r="O20" s="104"/>
    </row>
    <row r="21" spans="1:15" x14ac:dyDescent="0.25">
      <c r="A21" s="44" t="s">
        <v>77</v>
      </c>
      <c r="B21" s="44"/>
      <c r="C21" s="45">
        <f>C81</f>
        <v>171659.47999999998</v>
      </c>
      <c r="D21" s="46">
        <f>-D81</f>
        <v>-159370</v>
      </c>
      <c r="E21" s="46">
        <f>-E81</f>
        <v>-127347</v>
      </c>
      <c r="F21" s="46">
        <f t="shared" si="7"/>
        <v>-14149.666666666666</v>
      </c>
      <c r="G21" s="46"/>
      <c r="H21" s="57">
        <f>H81</f>
        <v>10109.4</v>
      </c>
      <c r="I21" s="57">
        <f>-I81</f>
        <v>-173660</v>
      </c>
      <c r="J21" s="58">
        <f>-J81</f>
        <v>-14471.666666666668</v>
      </c>
      <c r="K21" s="101"/>
      <c r="L21" s="104"/>
      <c r="M21" s="104"/>
      <c r="N21" s="104"/>
      <c r="O21" s="104"/>
    </row>
    <row r="22" spans="1:15" x14ac:dyDescent="0.25">
      <c r="A22" s="44" t="s">
        <v>296</v>
      </c>
      <c r="B22" s="44"/>
      <c r="C22" s="45">
        <f>C101</f>
        <v>1253.3333333333333</v>
      </c>
      <c r="D22" s="46">
        <f>-D86</f>
        <v>-189300</v>
      </c>
      <c r="E22" s="46">
        <f>-E86</f>
        <v>-157750</v>
      </c>
      <c r="F22" s="46">
        <f t="shared" si="7"/>
        <v>-17527.777777777777</v>
      </c>
      <c r="G22" s="46"/>
      <c r="H22" s="57">
        <f>H86</f>
        <v>0</v>
      </c>
      <c r="I22" s="57">
        <f>-I86</f>
        <v>-189300</v>
      </c>
      <c r="J22" s="58">
        <f>-J86</f>
        <v>-15775</v>
      </c>
      <c r="K22" s="101"/>
      <c r="L22" s="104"/>
      <c r="M22" s="104"/>
      <c r="N22" s="104"/>
      <c r="O22" s="104"/>
    </row>
    <row r="23" spans="1:15" x14ac:dyDescent="0.25">
      <c r="A23" s="44" t="s">
        <v>78</v>
      </c>
      <c r="B23" s="44"/>
      <c r="C23" s="45">
        <f>C90</f>
        <v>22362.799999999999</v>
      </c>
      <c r="D23" s="46">
        <f>-D90</f>
        <v>-9930</v>
      </c>
      <c r="E23" s="46">
        <f>-E90</f>
        <v>-7448</v>
      </c>
      <c r="F23" s="46">
        <f>E23/9</f>
        <v>-827.55555555555554</v>
      </c>
      <c r="G23" s="46"/>
      <c r="H23" s="57">
        <f>H90</f>
        <v>0</v>
      </c>
      <c r="I23" s="57">
        <f>-I90</f>
        <v>-9930</v>
      </c>
      <c r="J23" s="58">
        <f>-J90</f>
        <v>-827.5</v>
      </c>
      <c r="K23" s="101"/>
      <c r="L23" s="162"/>
      <c r="M23" s="104"/>
      <c r="N23" s="104"/>
      <c r="O23" s="104"/>
    </row>
    <row r="24" spans="1:15" x14ac:dyDescent="0.25">
      <c r="A24" s="44" t="s">
        <v>79</v>
      </c>
      <c r="B24" s="44"/>
      <c r="C24" s="52">
        <f>C102</f>
        <v>50775.986666666664</v>
      </c>
      <c r="D24" s="53">
        <f>-D102</f>
        <v>0</v>
      </c>
      <c r="E24" s="53">
        <f>-E102</f>
        <v>0</v>
      </c>
      <c r="F24" s="53">
        <f>E24/9</f>
        <v>0</v>
      </c>
      <c r="G24" s="53"/>
      <c r="H24" s="137">
        <f>H102</f>
        <v>0</v>
      </c>
      <c r="I24" s="137">
        <f>-I102</f>
        <v>-10000</v>
      </c>
      <c r="J24" s="139">
        <f>-J102</f>
        <v>-833.33333333333337</v>
      </c>
      <c r="K24" s="101"/>
      <c r="L24" s="104"/>
      <c r="M24" s="104"/>
      <c r="N24" s="104"/>
      <c r="O24" s="104"/>
    </row>
    <row r="25" spans="1:15" x14ac:dyDescent="0.25">
      <c r="A25" s="44" t="s">
        <v>80</v>
      </c>
      <c r="B25" s="44"/>
      <c r="C25" s="140">
        <f>SUM(C18:C24)</f>
        <v>1470719.0999999999</v>
      </c>
      <c r="D25" s="141">
        <f t="shared" ref="D25:F25" si="8">SUM(D18:D24)</f>
        <v>-767410</v>
      </c>
      <c r="E25" s="141">
        <f t="shared" si="8"/>
        <v>-592747</v>
      </c>
      <c r="F25" s="141">
        <f t="shared" si="8"/>
        <v>-65860.777777777781</v>
      </c>
      <c r="G25" s="53"/>
      <c r="H25" s="137">
        <f>SUM(H18:H24)</f>
        <v>18000.899999999998</v>
      </c>
      <c r="I25" s="163">
        <f t="shared" ref="I25:J25" si="9">SUM(I18:I24)</f>
        <v>-795270</v>
      </c>
      <c r="J25" s="164">
        <f t="shared" si="9"/>
        <v>-66272.5</v>
      </c>
      <c r="K25" s="101"/>
      <c r="L25" s="104"/>
      <c r="M25" s="104"/>
      <c r="N25" s="104"/>
      <c r="O25" s="104"/>
    </row>
    <row r="26" spans="1:15" x14ac:dyDescent="0.25">
      <c r="A26" s="44"/>
      <c r="B26" s="44"/>
      <c r="C26" s="45"/>
      <c r="D26" s="46"/>
      <c r="E26" s="46"/>
      <c r="F26" s="46"/>
      <c r="G26" s="46"/>
      <c r="H26" s="57"/>
      <c r="I26" s="57"/>
      <c r="J26" s="58"/>
      <c r="K26" s="101"/>
      <c r="L26" s="104"/>
      <c r="M26" s="104"/>
      <c r="N26" s="104"/>
      <c r="O26" s="104"/>
    </row>
    <row r="27" spans="1:15" ht="15.75" thickBot="1" x14ac:dyDescent="0.3">
      <c r="A27" s="121" t="s">
        <v>550</v>
      </c>
      <c r="B27" s="122"/>
      <c r="C27" s="123">
        <f>SUM(-C16-C25)</f>
        <v>554424.27000000025</v>
      </c>
      <c r="D27" s="72">
        <f>SUM(D16+D25)+D80</f>
        <v>31790</v>
      </c>
      <c r="E27" s="72">
        <f>SUM(E16+E25)+E80</f>
        <v>-2040</v>
      </c>
      <c r="F27" s="72">
        <f>SUM(F16+F25)+F80</f>
        <v>-226.66666666668971</v>
      </c>
      <c r="G27" s="72"/>
      <c r="H27" s="73">
        <f>SUM(-H16-H25)</f>
        <v>-18018.599999999999</v>
      </c>
      <c r="I27" s="73">
        <f>SUM(I16+I25)+I80</f>
        <v>9030</v>
      </c>
      <c r="J27" s="74">
        <f>SUM(J16+J25)+J80</f>
        <v>752.49999999999272</v>
      </c>
      <c r="K27" s="101"/>
      <c r="L27" s="104"/>
      <c r="M27" s="104"/>
      <c r="N27" s="104"/>
      <c r="O27" s="104"/>
    </row>
    <row r="28" spans="1:15" x14ac:dyDescent="0.25">
      <c r="A28" s="75" t="s">
        <v>449</v>
      </c>
      <c r="B28" s="44"/>
      <c r="C28" s="45"/>
      <c r="D28" s="46"/>
      <c r="E28" s="46"/>
      <c r="F28" s="46"/>
      <c r="G28" s="46"/>
      <c r="H28" s="57"/>
      <c r="I28" s="57"/>
      <c r="J28" s="58"/>
      <c r="K28" s="101"/>
      <c r="L28" s="104"/>
      <c r="M28" s="104"/>
      <c r="N28" s="104"/>
      <c r="O28" s="104"/>
    </row>
    <row r="29" spans="1:15" hidden="1" x14ac:dyDescent="0.25">
      <c r="A29" s="44" t="s">
        <v>38</v>
      </c>
      <c r="B29" s="63">
        <v>3</v>
      </c>
      <c r="C29" s="45">
        <f>SUM('[2]2014'!C12:E12)+18</f>
        <v>4282.53</v>
      </c>
      <c r="D29" s="45">
        <v>0</v>
      </c>
      <c r="E29" s="45">
        <v>0</v>
      </c>
      <c r="F29" s="45">
        <f>E29/9</f>
        <v>0</v>
      </c>
      <c r="G29" s="45"/>
      <c r="H29" s="115">
        <v>0</v>
      </c>
      <c r="I29" s="115">
        <v>0</v>
      </c>
      <c r="J29" s="116">
        <f t="shared" ref="J29" si="10">I29/12</f>
        <v>0</v>
      </c>
      <c r="K29" s="101"/>
      <c r="L29" s="104"/>
      <c r="M29" s="104"/>
      <c r="N29" s="104"/>
      <c r="O29" s="104"/>
    </row>
    <row r="30" spans="1:15" x14ac:dyDescent="0.25">
      <c r="A30" s="44" t="s">
        <v>39</v>
      </c>
      <c r="B30" s="44">
        <v>3</v>
      </c>
      <c r="C30" s="45">
        <f>186801.45+8343</f>
        <v>195144.45</v>
      </c>
      <c r="D30" s="45">
        <v>56410</v>
      </c>
      <c r="E30" s="45">
        <v>41237</v>
      </c>
      <c r="F30" s="45">
        <f t="shared" ref="F30:F44" si="11">E30/9</f>
        <v>4581.8888888888887</v>
      </c>
      <c r="G30" s="45"/>
      <c r="H30" s="115">
        <f>D30*$N$8</f>
        <v>1692.3</v>
      </c>
      <c r="I30" s="115">
        <f>53500-6000</f>
        <v>47500</v>
      </c>
      <c r="J30" s="116">
        <f t="shared" ref="J30:J45" si="12">I30/12</f>
        <v>3958.3333333333335</v>
      </c>
      <c r="K30" s="101" t="s">
        <v>623</v>
      </c>
      <c r="L30" s="104">
        <f t="shared" ref="L30:L45" si="13">SUM(E30)+(F30*3)*1.03</f>
        <v>55395.036666666667</v>
      </c>
      <c r="M30" s="104"/>
      <c r="N30" s="104"/>
      <c r="O30" s="104"/>
    </row>
    <row r="31" spans="1:15" x14ac:dyDescent="0.25">
      <c r="A31" s="44" t="s">
        <v>326</v>
      </c>
      <c r="B31" s="44">
        <v>3</v>
      </c>
      <c r="C31" s="45">
        <f>10771.26-1799</f>
        <v>8972.26</v>
      </c>
      <c r="D31" s="45">
        <v>2470</v>
      </c>
      <c r="E31" s="45">
        <v>2320</v>
      </c>
      <c r="F31" s="45">
        <f t="shared" si="11"/>
        <v>257.77777777777777</v>
      </c>
      <c r="G31" s="45"/>
      <c r="H31" s="115">
        <f t="shared" ref="H31:H34" si="14">D31*$N$8</f>
        <v>74.099999999999994</v>
      </c>
      <c r="I31" s="115">
        <v>3080</v>
      </c>
      <c r="J31" s="116">
        <f t="shared" si="12"/>
        <v>256.66666666666669</v>
      </c>
      <c r="K31" s="101"/>
      <c r="L31" s="104">
        <f t="shared" si="13"/>
        <v>3116.5333333333333</v>
      </c>
      <c r="M31" s="104"/>
      <c r="N31" s="104"/>
      <c r="O31" s="104"/>
    </row>
    <row r="32" spans="1:15" x14ac:dyDescent="0.25">
      <c r="A32" s="44" t="s">
        <v>317</v>
      </c>
      <c r="B32" s="44">
        <v>3</v>
      </c>
      <c r="C32" s="45">
        <f>83+673</f>
        <v>756</v>
      </c>
      <c r="D32" s="45">
        <v>350</v>
      </c>
      <c r="E32" s="45">
        <v>298</v>
      </c>
      <c r="F32" s="45">
        <f t="shared" si="11"/>
        <v>33.111111111111114</v>
      </c>
      <c r="G32" s="45"/>
      <c r="H32" s="115">
        <f t="shared" si="14"/>
        <v>10.5</v>
      </c>
      <c r="I32" s="115">
        <v>100</v>
      </c>
      <c r="J32" s="116">
        <f t="shared" si="12"/>
        <v>8.3333333333333339</v>
      </c>
      <c r="K32" s="101"/>
      <c r="L32" s="104">
        <f t="shared" si="13"/>
        <v>400.31333333333333</v>
      </c>
      <c r="M32" s="104"/>
      <c r="N32" s="104"/>
      <c r="O32" s="104"/>
    </row>
    <row r="33" spans="1:15" x14ac:dyDescent="0.25">
      <c r="A33" s="44" t="s">
        <v>429</v>
      </c>
      <c r="B33" s="44">
        <v>3</v>
      </c>
      <c r="C33" s="45">
        <f>2360+4369</f>
        <v>6729</v>
      </c>
      <c r="D33" s="45">
        <v>4030</v>
      </c>
      <c r="E33" s="45">
        <v>2343</v>
      </c>
      <c r="F33" s="45">
        <f t="shared" si="11"/>
        <v>260.33333333333331</v>
      </c>
      <c r="G33" s="45"/>
      <c r="H33" s="115">
        <f t="shared" si="14"/>
        <v>120.89999999999999</v>
      </c>
      <c r="I33" s="115">
        <v>2310</v>
      </c>
      <c r="J33" s="116">
        <f t="shared" si="12"/>
        <v>192.5</v>
      </c>
      <c r="K33" s="101"/>
      <c r="L33" s="104">
        <f t="shared" si="13"/>
        <v>3147.4300000000003</v>
      </c>
      <c r="M33" s="104"/>
      <c r="N33" s="104"/>
      <c r="O33" s="104"/>
    </row>
    <row r="34" spans="1:15" x14ac:dyDescent="0.25">
      <c r="A34" s="44" t="s">
        <v>327</v>
      </c>
      <c r="B34" s="44">
        <v>3</v>
      </c>
      <c r="C34" s="45">
        <f>20+127</f>
        <v>147</v>
      </c>
      <c r="D34" s="45">
        <v>350</v>
      </c>
      <c r="E34" s="45">
        <v>952</v>
      </c>
      <c r="F34" s="45">
        <f t="shared" si="11"/>
        <v>105.77777777777777</v>
      </c>
      <c r="G34" s="45"/>
      <c r="H34" s="115">
        <f t="shared" si="14"/>
        <v>10.5</v>
      </c>
      <c r="I34" s="115">
        <v>100</v>
      </c>
      <c r="J34" s="116">
        <f t="shared" si="12"/>
        <v>8.3333333333333339</v>
      </c>
      <c r="K34" s="101"/>
      <c r="L34" s="104">
        <f t="shared" si="13"/>
        <v>1278.8533333333332</v>
      </c>
      <c r="M34" s="104"/>
      <c r="N34" s="104"/>
      <c r="O34" s="104"/>
    </row>
    <row r="35" spans="1:15" x14ac:dyDescent="0.25">
      <c r="A35" s="44" t="s">
        <v>285</v>
      </c>
      <c r="B35" s="44">
        <v>3</v>
      </c>
      <c r="C35" s="45">
        <f>92721.03+28633</f>
        <v>121354.03</v>
      </c>
      <c r="D35" s="45">
        <v>43990</v>
      </c>
      <c r="E35" s="45">
        <v>32570</v>
      </c>
      <c r="F35" s="45">
        <f t="shared" si="11"/>
        <v>3618.8888888888887</v>
      </c>
      <c r="G35" s="45"/>
      <c r="H35" s="115">
        <v>0</v>
      </c>
      <c r="I35" s="115">
        <v>44190</v>
      </c>
      <c r="J35" s="116">
        <f t="shared" si="12"/>
        <v>3682.5</v>
      </c>
      <c r="K35" s="101" t="s">
        <v>570</v>
      </c>
      <c r="L35" s="104">
        <f>I16*6.3%</f>
        <v>44500.05</v>
      </c>
      <c r="M35" s="104"/>
      <c r="N35" s="104"/>
      <c r="O35" s="104"/>
    </row>
    <row r="36" spans="1:15" x14ac:dyDescent="0.25">
      <c r="A36" s="44" t="s">
        <v>328</v>
      </c>
      <c r="B36" s="44">
        <v>3</v>
      </c>
      <c r="C36" s="45">
        <f>79756.33+25332</f>
        <v>105088.33</v>
      </c>
      <c r="D36" s="45">
        <v>36320</v>
      </c>
      <c r="E36" s="45">
        <v>28776</v>
      </c>
      <c r="F36" s="45">
        <f t="shared" si="11"/>
        <v>3197.3333333333335</v>
      </c>
      <c r="G36" s="45"/>
      <c r="H36" s="115">
        <f t="shared" ref="H36:H45" si="15">D36*$N$8</f>
        <v>1089.5999999999999</v>
      </c>
      <c r="I36" s="115">
        <v>38660</v>
      </c>
      <c r="J36" s="116">
        <f t="shared" si="12"/>
        <v>3221.6666666666665</v>
      </c>
      <c r="K36" s="101"/>
      <c r="L36" s="104">
        <f t="shared" si="13"/>
        <v>38655.760000000002</v>
      </c>
      <c r="M36" s="104"/>
      <c r="N36" s="104"/>
      <c r="O36" s="104"/>
    </row>
    <row r="37" spans="1:15" x14ac:dyDescent="0.25">
      <c r="A37" s="44" t="s">
        <v>329</v>
      </c>
      <c r="B37" s="44">
        <v>3</v>
      </c>
      <c r="C37" s="45">
        <f>10741.8-985</f>
        <v>9756.7999999999993</v>
      </c>
      <c r="D37" s="45">
        <v>1500</v>
      </c>
      <c r="E37" s="45">
        <v>7583</v>
      </c>
      <c r="F37" s="45">
        <f t="shared" si="11"/>
        <v>842.55555555555554</v>
      </c>
      <c r="G37" s="45"/>
      <c r="H37" s="115">
        <f t="shared" si="15"/>
        <v>45</v>
      </c>
      <c r="I37" s="115">
        <v>5000</v>
      </c>
      <c r="J37" s="116">
        <f t="shared" si="12"/>
        <v>416.66666666666669</v>
      </c>
      <c r="K37" s="104"/>
      <c r="L37" s="104">
        <f t="shared" si="13"/>
        <v>10186.496666666666</v>
      </c>
      <c r="M37" s="104"/>
      <c r="N37" s="104"/>
      <c r="O37" s="104"/>
    </row>
    <row r="38" spans="1:15" x14ac:dyDescent="0.25">
      <c r="A38" s="44" t="s">
        <v>330</v>
      </c>
      <c r="B38" s="44">
        <v>3</v>
      </c>
      <c r="C38" s="45">
        <f>4360.58+1027</f>
        <v>5387.58</v>
      </c>
      <c r="D38" s="45">
        <v>1820</v>
      </c>
      <c r="E38" s="45">
        <v>2637</v>
      </c>
      <c r="F38" s="45">
        <f t="shared" si="11"/>
        <v>293</v>
      </c>
      <c r="G38" s="45"/>
      <c r="H38" s="115">
        <f t="shared" si="15"/>
        <v>54.6</v>
      </c>
      <c r="I38" s="115">
        <v>3540</v>
      </c>
      <c r="J38" s="116">
        <f t="shared" si="12"/>
        <v>295</v>
      </c>
      <c r="K38" s="104"/>
      <c r="L38" s="104">
        <f t="shared" si="13"/>
        <v>3542.37</v>
      </c>
      <c r="M38" s="104"/>
      <c r="N38" s="104"/>
      <c r="O38" s="104"/>
    </row>
    <row r="39" spans="1:15" x14ac:dyDescent="0.25">
      <c r="A39" s="44" t="s">
        <v>44</v>
      </c>
      <c r="B39" s="44">
        <v>3</v>
      </c>
      <c r="C39" s="45">
        <f>10693.72+2297</f>
        <v>12990.72</v>
      </c>
      <c r="D39" s="45">
        <v>4570</v>
      </c>
      <c r="E39" s="45">
        <v>3427</v>
      </c>
      <c r="F39" s="45">
        <f t="shared" si="11"/>
        <v>380.77777777777777</v>
      </c>
      <c r="G39" s="45"/>
      <c r="H39" s="115">
        <f t="shared" si="15"/>
        <v>137.1</v>
      </c>
      <c r="I39" s="115">
        <v>4600</v>
      </c>
      <c r="J39" s="116">
        <f t="shared" si="12"/>
        <v>383.33333333333331</v>
      </c>
      <c r="K39" s="104"/>
      <c r="L39" s="104">
        <f t="shared" si="13"/>
        <v>4603.6033333333335</v>
      </c>
      <c r="M39" s="104"/>
      <c r="N39" s="104"/>
      <c r="O39" s="104"/>
    </row>
    <row r="40" spans="1:15" x14ac:dyDescent="0.25">
      <c r="A40" s="44" t="s">
        <v>331</v>
      </c>
      <c r="B40" s="44">
        <v>3</v>
      </c>
      <c r="C40" s="45">
        <f>1769.75+3007</f>
        <v>4776.75</v>
      </c>
      <c r="D40" s="45">
        <v>1420</v>
      </c>
      <c r="E40" s="45">
        <v>1618</v>
      </c>
      <c r="F40" s="45">
        <f>E40/9</f>
        <v>179.77777777777777</v>
      </c>
      <c r="G40" s="45"/>
      <c r="H40" s="115">
        <f t="shared" si="15"/>
        <v>42.6</v>
      </c>
      <c r="I40" s="115">
        <v>2170</v>
      </c>
      <c r="J40" s="116">
        <f t="shared" si="12"/>
        <v>180.83333333333334</v>
      </c>
      <c r="K40" s="104"/>
      <c r="L40" s="104">
        <f t="shared" si="13"/>
        <v>2173.5133333333333</v>
      </c>
      <c r="M40" s="104"/>
      <c r="N40" s="104"/>
      <c r="O40" s="104"/>
    </row>
    <row r="41" spans="1:15" x14ac:dyDescent="0.25">
      <c r="A41" s="44" t="s">
        <v>332</v>
      </c>
      <c r="B41" s="44">
        <v>3</v>
      </c>
      <c r="C41" s="45">
        <f>2999.4+1543</f>
        <v>4542.3999999999996</v>
      </c>
      <c r="D41" s="45">
        <v>1520</v>
      </c>
      <c r="E41" s="45">
        <v>865</v>
      </c>
      <c r="F41" s="45">
        <f t="shared" si="11"/>
        <v>96.111111111111114</v>
      </c>
      <c r="G41" s="45"/>
      <c r="H41" s="115">
        <f t="shared" si="15"/>
        <v>45.6</v>
      </c>
      <c r="I41" s="115">
        <v>1160</v>
      </c>
      <c r="J41" s="116">
        <f t="shared" si="12"/>
        <v>96.666666666666671</v>
      </c>
      <c r="K41" s="104"/>
      <c r="L41" s="104">
        <f t="shared" si="13"/>
        <v>1161.9833333333333</v>
      </c>
      <c r="M41" s="104"/>
      <c r="N41" s="104"/>
      <c r="O41" s="104"/>
    </row>
    <row r="42" spans="1:15" x14ac:dyDescent="0.25">
      <c r="A42" s="44" t="s">
        <v>271</v>
      </c>
      <c r="B42" s="44">
        <v>3</v>
      </c>
      <c r="C42" s="45">
        <f>6913.27+1330</f>
        <v>8243.27</v>
      </c>
      <c r="D42" s="45">
        <v>5180</v>
      </c>
      <c r="E42" s="45">
        <v>2332</v>
      </c>
      <c r="F42" s="45">
        <f t="shared" si="11"/>
        <v>259.11111111111109</v>
      </c>
      <c r="G42" s="45"/>
      <c r="H42" s="115">
        <f t="shared" si="15"/>
        <v>155.4</v>
      </c>
      <c r="I42" s="115">
        <v>3130</v>
      </c>
      <c r="J42" s="116">
        <f t="shared" si="12"/>
        <v>260.83333333333331</v>
      </c>
      <c r="K42" s="104"/>
      <c r="L42" s="104">
        <f t="shared" si="13"/>
        <v>3132.6533333333332</v>
      </c>
      <c r="M42" s="104"/>
      <c r="N42" s="104"/>
      <c r="O42" s="104"/>
    </row>
    <row r="43" spans="1:15" x14ac:dyDescent="0.25">
      <c r="A43" s="44" t="s">
        <v>333</v>
      </c>
      <c r="B43" s="44">
        <v>3</v>
      </c>
      <c r="C43" s="45">
        <f>18309.04-5988</f>
        <v>12321.04</v>
      </c>
      <c r="D43" s="45">
        <v>3910</v>
      </c>
      <c r="E43" s="45">
        <v>2890</v>
      </c>
      <c r="F43" s="45">
        <f t="shared" si="11"/>
        <v>321.11111111111109</v>
      </c>
      <c r="G43" s="45"/>
      <c r="H43" s="115">
        <f t="shared" si="15"/>
        <v>117.3</v>
      </c>
      <c r="I43" s="115">
        <v>3880</v>
      </c>
      <c r="J43" s="116">
        <f t="shared" si="12"/>
        <v>323.33333333333331</v>
      </c>
      <c r="K43" s="104"/>
      <c r="L43" s="104">
        <f t="shared" si="13"/>
        <v>3882.2333333333331</v>
      </c>
      <c r="M43" s="104"/>
      <c r="N43" s="104"/>
      <c r="O43" s="104"/>
    </row>
    <row r="44" spans="1:15" x14ac:dyDescent="0.25">
      <c r="A44" s="44" t="s">
        <v>334</v>
      </c>
      <c r="B44" s="44">
        <v>3</v>
      </c>
      <c r="C44" s="45">
        <f>8231.82+3331</f>
        <v>11562.82</v>
      </c>
      <c r="D44" s="45">
        <v>2690</v>
      </c>
      <c r="E44" s="45">
        <v>1225</v>
      </c>
      <c r="F44" s="45">
        <f t="shared" si="11"/>
        <v>136.11111111111111</v>
      </c>
      <c r="G44" s="45"/>
      <c r="H44" s="115">
        <f t="shared" si="15"/>
        <v>80.7</v>
      </c>
      <c r="I44" s="115">
        <v>1640</v>
      </c>
      <c r="J44" s="116">
        <f t="shared" si="12"/>
        <v>136.66666666666666</v>
      </c>
      <c r="K44" s="104"/>
      <c r="L44" s="104">
        <f t="shared" si="13"/>
        <v>1645.5833333333335</v>
      </c>
      <c r="M44" s="104"/>
      <c r="N44" s="104"/>
      <c r="O44" s="104"/>
    </row>
    <row r="45" spans="1:15" x14ac:dyDescent="0.25">
      <c r="A45" s="44" t="s">
        <v>272</v>
      </c>
      <c r="B45" s="44">
        <v>3</v>
      </c>
      <c r="C45" s="52">
        <f>3492.77-2036</f>
        <v>1456.77</v>
      </c>
      <c r="D45" s="52">
        <v>800</v>
      </c>
      <c r="E45" s="52">
        <v>3049</v>
      </c>
      <c r="F45" s="52">
        <f>E45/9</f>
        <v>338.77777777777777</v>
      </c>
      <c r="G45" s="52"/>
      <c r="H45" s="142">
        <f t="shared" si="15"/>
        <v>24</v>
      </c>
      <c r="I45" s="142">
        <v>4090</v>
      </c>
      <c r="J45" s="120">
        <f t="shared" si="12"/>
        <v>340.83333333333331</v>
      </c>
      <c r="K45" s="104"/>
      <c r="L45" s="104">
        <f t="shared" si="13"/>
        <v>4095.8233333333333</v>
      </c>
      <c r="M45" s="104"/>
      <c r="N45" s="104"/>
      <c r="O45" s="104"/>
    </row>
    <row r="46" spans="1:15" x14ac:dyDescent="0.25">
      <c r="A46" s="75" t="s">
        <v>81</v>
      </c>
      <c r="B46" s="44"/>
      <c r="C46" s="45">
        <f t="shared" ref="C46" si="16">SUM(C30:C45)</f>
        <v>509229.22000000003</v>
      </c>
      <c r="D46" s="45">
        <f>SUM(D29:D45)</f>
        <v>167330</v>
      </c>
      <c r="E46" s="45">
        <f>SUM(E29:E45)</f>
        <v>134122</v>
      </c>
      <c r="F46" s="45">
        <f>SUM(F29:F45)</f>
        <v>14902.444444444443</v>
      </c>
      <c r="G46" s="45"/>
      <c r="H46" s="115">
        <f>SUM(H29:H45)</f>
        <v>3700.1999999999994</v>
      </c>
      <c r="I46" s="115">
        <f>SUM(I29:I45)</f>
        <v>165150</v>
      </c>
      <c r="J46" s="116">
        <f>SUM(J29:J45)</f>
        <v>13762.5</v>
      </c>
      <c r="K46" s="104"/>
      <c r="L46" s="104"/>
      <c r="M46" s="104"/>
      <c r="N46" s="104"/>
      <c r="O46" s="104"/>
    </row>
    <row r="47" spans="1:15" x14ac:dyDescent="0.25">
      <c r="A47" s="44"/>
      <c r="B47" s="44"/>
      <c r="C47" s="45"/>
      <c r="D47" s="45"/>
      <c r="E47" s="45"/>
      <c r="F47" s="45"/>
      <c r="G47" s="45"/>
      <c r="H47" s="115"/>
      <c r="I47" s="115"/>
      <c r="J47" s="116"/>
      <c r="K47" s="104"/>
      <c r="L47" s="104"/>
      <c r="M47" s="104"/>
      <c r="N47" s="104"/>
      <c r="O47" s="104"/>
    </row>
    <row r="48" spans="1:15" x14ac:dyDescent="0.25">
      <c r="A48" s="75" t="s">
        <v>450</v>
      </c>
      <c r="B48" s="44"/>
      <c r="C48" s="45"/>
      <c r="D48" s="45"/>
      <c r="E48" s="45"/>
      <c r="F48" s="45"/>
      <c r="G48" s="45"/>
      <c r="H48" s="115"/>
      <c r="I48" s="115"/>
      <c r="J48" s="116"/>
      <c r="K48" s="104"/>
      <c r="L48" s="104"/>
      <c r="M48" s="104"/>
      <c r="N48" s="104"/>
      <c r="O48" s="104"/>
    </row>
    <row r="49" spans="1:18" x14ac:dyDescent="0.25">
      <c r="A49" s="44" t="s">
        <v>220</v>
      </c>
      <c r="B49" s="44">
        <v>3</v>
      </c>
      <c r="C49" s="45">
        <f>78563.15+33559</f>
        <v>112122.15</v>
      </c>
      <c r="D49" s="45">
        <v>35750</v>
      </c>
      <c r="E49" s="45">
        <v>24179</v>
      </c>
      <c r="F49" s="45">
        <f>E49/9</f>
        <v>2686.5555555555557</v>
      </c>
      <c r="G49" s="45"/>
      <c r="H49" s="115">
        <f>D49*$N$49</f>
        <v>0</v>
      </c>
      <c r="I49" s="115">
        <v>32480</v>
      </c>
      <c r="J49" s="116">
        <f t="shared" ref="J49:J53" si="17">I49/12</f>
        <v>2706.6666666666665</v>
      </c>
      <c r="K49" s="101" t="s">
        <v>501</v>
      </c>
      <c r="L49" s="104">
        <f>SUM(E49)+(F49*3)*1.03</f>
        <v>32480.456666666665</v>
      </c>
      <c r="M49" s="104"/>
      <c r="N49" s="165"/>
      <c r="O49" s="104"/>
    </row>
    <row r="50" spans="1:18" x14ac:dyDescent="0.25">
      <c r="A50" s="44" t="s">
        <v>335</v>
      </c>
      <c r="B50" s="44">
        <v>3</v>
      </c>
      <c r="C50" s="45">
        <f>27687.76+8883</f>
        <v>36570.759999999995</v>
      </c>
      <c r="D50" s="45">
        <v>13130</v>
      </c>
      <c r="E50" s="45">
        <v>9604</v>
      </c>
      <c r="F50" s="45">
        <f t="shared" ref="F50:F51" si="18">E50/9</f>
        <v>1067.1111111111111</v>
      </c>
      <c r="G50" s="45"/>
      <c r="H50" s="115">
        <f>D50*$N$50</f>
        <v>0</v>
      </c>
      <c r="I50" s="115">
        <v>13060</v>
      </c>
      <c r="J50" s="116">
        <f t="shared" si="17"/>
        <v>1088.3333333333333</v>
      </c>
      <c r="K50" s="101" t="s">
        <v>610</v>
      </c>
      <c r="L50" s="104">
        <f>SUM(E50)+(F50*3)*1.08</f>
        <v>13061.44</v>
      </c>
      <c r="M50" s="104"/>
      <c r="N50" s="165"/>
      <c r="O50" s="104"/>
    </row>
    <row r="51" spans="1:18" x14ac:dyDescent="0.25">
      <c r="A51" s="44" t="s">
        <v>48</v>
      </c>
      <c r="B51" s="44">
        <v>3</v>
      </c>
      <c r="C51" s="45">
        <f>28321.64+17687</f>
        <v>46008.639999999999</v>
      </c>
      <c r="D51" s="45">
        <v>11270</v>
      </c>
      <c r="E51" s="45">
        <v>6373</v>
      </c>
      <c r="F51" s="45">
        <f t="shared" si="18"/>
        <v>708.11111111111109</v>
      </c>
      <c r="G51" s="45"/>
      <c r="H51" s="115">
        <f>D51*$N$51</f>
        <v>0</v>
      </c>
      <c r="I51" s="115">
        <v>8580</v>
      </c>
      <c r="J51" s="116">
        <f t="shared" si="17"/>
        <v>715</v>
      </c>
      <c r="K51" s="101" t="s">
        <v>533</v>
      </c>
      <c r="L51" s="104">
        <f t="shared" ref="L51" si="19">SUM(E51)+(F51*3)*1.04</f>
        <v>8582.3066666666673</v>
      </c>
      <c r="M51" s="104"/>
      <c r="N51" s="165"/>
      <c r="O51" s="104"/>
    </row>
    <row r="52" spans="1:18" x14ac:dyDescent="0.25">
      <c r="A52" s="44" t="s">
        <v>336</v>
      </c>
      <c r="B52" s="44">
        <v>3</v>
      </c>
      <c r="C52" s="52">
        <f>26118.22+8967</f>
        <v>35085.22</v>
      </c>
      <c r="D52" s="52">
        <v>13120</v>
      </c>
      <c r="E52" s="52">
        <v>9792</v>
      </c>
      <c r="F52" s="52">
        <f>E52/9</f>
        <v>1088</v>
      </c>
      <c r="G52" s="52"/>
      <c r="H52" s="142">
        <f>D52*$N$52</f>
        <v>0</v>
      </c>
      <c r="I52" s="142">
        <v>13220</v>
      </c>
      <c r="J52" s="120">
        <f t="shared" si="17"/>
        <v>1101.6666666666667</v>
      </c>
      <c r="K52" s="101" t="s">
        <v>585</v>
      </c>
      <c r="L52" s="104">
        <f>SUM(E52)+(F52*3)*1.05</f>
        <v>13219.2</v>
      </c>
      <c r="M52" s="104"/>
      <c r="N52" s="165"/>
      <c r="O52" s="104"/>
    </row>
    <row r="53" spans="1:18" x14ac:dyDescent="0.25">
      <c r="A53" s="75" t="s">
        <v>301</v>
      </c>
      <c r="B53" s="44"/>
      <c r="C53" s="45">
        <f>SUM(C49:C52)</f>
        <v>229786.77</v>
      </c>
      <c r="D53" s="45">
        <f>SUM(D49:D52)</f>
        <v>73270</v>
      </c>
      <c r="E53" s="45">
        <f>SUM(E49:E52)</f>
        <v>49948</v>
      </c>
      <c r="F53" s="45">
        <f>SUM(F49:F52)</f>
        <v>5549.7777777777783</v>
      </c>
      <c r="G53" s="45"/>
      <c r="H53" s="115">
        <f>SUM(H49:H52)</f>
        <v>0</v>
      </c>
      <c r="I53" s="115">
        <f>SUM(I49:I52)</f>
        <v>67340</v>
      </c>
      <c r="J53" s="116">
        <f t="shared" si="17"/>
        <v>5611.666666666667</v>
      </c>
      <c r="K53" s="101"/>
      <c r="L53" s="104"/>
      <c r="M53" s="104"/>
      <c r="N53" s="104"/>
      <c r="O53" s="104"/>
    </row>
    <row r="54" spans="1:18" x14ac:dyDescent="0.25">
      <c r="A54" s="44"/>
      <c r="B54" s="44"/>
      <c r="C54" s="45"/>
      <c r="D54" s="45"/>
      <c r="E54" s="45"/>
      <c r="F54" s="45"/>
      <c r="G54" s="45"/>
      <c r="H54" s="115"/>
      <c r="I54" s="115"/>
      <c r="J54" s="116"/>
      <c r="K54" s="101"/>
      <c r="L54" s="104"/>
      <c r="M54" s="104"/>
      <c r="N54" s="104"/>
      <c r="O54" s="104"/>
    </row>
    <row r="55" spans="1:18" x14ac:dyDescent="0.25">
      <c r="A55" s="75" t="s">
        <v>451</v>
      </c>
      <c r="B55" s="44"/>
      <c r="C55" s="45"/>
      <c r="D55" s="45"/>
      <c r="E55" s="45"/>
      <c r="F55" s="45"/>
      <c r="G55" s="45"/>
      <c r="H55" s="115"/>
      <c r="I55" s="115"/>
      <c r="J55" s="116"/>
      <c r="K55" s="101"/>
      <c r="L55" s="104"/>
      <c r="M55" s="104"/>
      <c r="N55" s="104"/>
      <c r="O55" s="104"/>
    </row>
    <row r="56" spans="1:18" x14ac:dyDescent="0.25">
      <c r="A56" s="44" t="s">
        <v>337</v>
      </c>
      <c r="B56" s="44">
        <v>3</v>
      </c>
      <c r="C56" s="45">
        <f>1256.89-353</f>
        <v>903.8900000000001</v>
      </c>
      <c r="D56" s="45">
        <v>530</v>
      </c>
      <c r="E56" s="45">
        <v>248</v>
      </c>
      <c r="F56" s="45">
        <f>E56/9</f>
        <v>27.555555555555557</v>
      </c>
      <c r="G56" s="45"/>
      <c r="H56" s="115">
        <f t="shared" ref="H56:H68" si="20">D56*$N$8</f>
        <v>15.899999999999999</v>
      </c>
      <c r="I56" s="115">
        <v>330</v>
      </c>
      <c r="J56" s="116">
        <f t="shared" ref="J56:J69" si="21">I56/12</f>
        <v>27.5</v>
      </c>
      <c r="K56" s="104"/>
      <c r="L56" s="104">
        <f>SUM(E56)+(F56*3)*1.03</f>
        <v>333.14666666666665</v>
      </c>
      <c r="M56" s="104"/>
      <c r="N56" s="104"/>
      <c r="O56" s="104"/>
    </row>
    <row r="57" spans="1:18" x14ac:dyDescent="0.25">
      <c r="A57" s="44" t="s">
        <v>338</v>
      </c>
      <c r="B57" s="44">
        <v>3</v>
      </c>
      <c r="C57" s="45">
        <f>54323.52+18929</f>
        <v>73252.51999999999</v>
      </c>
      <c r="D57" s="45">
        <v>23010</v>
      </c>
      <c r="E57" s="45">
        <v>18381</v>
      </c>
      <c r="F57" s="45">
        <f t="shared" ref="F57:F67" si="22">E57/9</f>
        <v>2042.3333333333333</v>
      </c>
      <c r="G57" s="45"/>
      <c r="H57" s="115">
        <f t="shared" si="20"/>
        <v>690.3</v>
      </c>
      <c r="I57" s="115">
        <v>24690</v>
      </c>
      <c r="J57" s="116">
        <f t="shared" si="21"/>
        <v>2057.5</v>
      </c>
      <c r="K57" s="101" t="s">
        <v>339</v>
      </c>
      <c r="L57" s="104">
        <f t="shared" ref="L57:L68" si="23">SUM(E57)+(F57*3)*1.03</f>
        <v>24691.81</v>
      </c>
      <c r="M57" s="104"/>
      <c r="N57" s="104"/>
      <c r="O57" s="104"/>
    </row>
    <row r="58" spans="1:18" x14ac:dyDescent="0.25">
      <c r="A58" s="44" t="s">
        <v>340</v>
      </c>
      <c r="B58" s="44">
        <v>3</v>
      </c>
      <c r="C58" s="45">
        <f>22418+10931</f>
        <v>33349</v>
      </c>
      <c r="D58" s="45">
        <v>1840</v>
      </c>
      <c r="E58" s="45">
        <v>1596</v>
      </c>
      <c r="F58" s="45">
        <f t="shared" si="22"/>
        <v>177.33333333333334</v>
      </c>
      <c r="G58" s="45"/>
      <c r="H58" s="115">
        <f t="shared" si="20"/>
        <v>55.199999999999996</v>
      </c>
      <c r="I58" s="115">
        <v>1950</v>
      </c>
      <c r="J58" s="116">
        <f t="shared" si="21"/>
        <v>162.5</v>
      </c>
      <c r="K58" s="101" t="s">
        <v>608</v>
      </c>
      <c r="L58" s="104">
        <f t="shared" si="23"/>
        <v>2143.96</v>
      </c>
      <c r="M58" s="104"/>
      <c r="N58" s="104"/>
      <c r="O58" s="104"/>
    </row>
    <row r="59" spans="1:18" x14ac:dyDescent="0.25">
      <c r="A59" s="44" t="s">
        <v>341</v>
      </c>
      <c r="B59" s="44">
        <v>3</v>
      </c>
      <c r="C59" s="45">
        <f>7369.68+3117</f>
        <v>10486.68</v>
      </c>
      <c r="D59" s="45">
        <v>3710</v>
      </c>
      <c r="E59" s="45">
        <v>2800</v>
      </c>
      <c r="F59" s="45">
        <f t="shared" si="22"/>
        <v>311.11111111111109</v>
      </c>
      <c r="G59" s="45"/>
      <c r="H59" s="115">
        <f t="shared" si="20"/>
        <v>111.3</v>
      </c>
      <c r="I59" s="115">
        <v>3770</v>
      </c>
      <c r="J59" s="116">
        <f t="shared" si="21"/>
        <v>314.16666666666669</v>
      </c>
      <c r="K59" s="101" t="s">
        <v>542</v>
      </c>
      <c r="L59" s="104">
        <f>SUM(E59)+(F59*3)*1.04</f>
        <v>3770.6666666666665</v>
      </c>
      <c r="M59" s="104"/>
      <c r="N59" s="104"/>
      <c r="O59" s="104"/>
    </row>
    <row r="60" spans="1:18" x14ac:dyDescent="0.25">
      <c r="A60" s="44" t="s">
        <v>305</v>
      </c>
      <c r="B60" s="44">
        <v>3</v>
      </c>
      <c r="C60" s="45">
        <f>3221.93+943</f>
        <v>4164.93</v>
      </c>
      <c r="D60" s="45">
        <v>1170</v>
      </c>
      <c r="E60" s="45">
        <v>2001</v>
      </c>
      <c r="F60" s="45">
        <f t="shared" si="22"/>
        <v>222.33333333333334</v>
      </c>
      <c r="G60" s="45"/>
      <c r="H60" s="115">
        <f t="shared" si="20"/>
        <v>35.1</v>
      </c>
      <c r="I60" s="115">
        <v>2690</v>
      </c>
      <c r="J60" s="116">
        <f t="shared" si="21"/>
        <v>224.16666666666666</v>
      </c>
      <c r="K60" s="101" t="s">
        <v>342</v>
      </c>
      <c r="L60" s="104">
        <f t="shared" si="23"/>
        <v>2688.01</v>
      </c>
      <c r="M60" s="104"/>
      <c r="N60" s="104"/>
      <c r="O60" s="104"/>
    </row>
    <row r="61" spans="1:18" x14ac:dyDescent="0.25">
      <c r="A61" s="44" t="s">
        <v>248</v>
      </c>
      <c r="B61" s="44">
        <v>3</v>
      </c>
      <c r="C61" s="45">
        <f>32436.31+8339</f>
        <v>40775.31</v>
      </c>
      <c r="D61" s="45">
        <v>11280</v>
      </c>
      <c r="E61" s="45">
        <v>13727</v>
      </c>
      <c r="F61" s="45">
        <f t="shared" si="22"/>
        <v>1525.2222222222222</v>
      </c>
      <c r="G61" s="45"/>
      <c r="H61" s="115">
        <f t="shared" si="20"/>
        <v>338.4</v>
      </c>
      <c r="I61" s="115">
        <v>18440</v>
      </c>
      <c r="J61" s="116">
        <f t="shared" si="21"/>
        <v>1536.6666666666667</v>
      </c>
      <c r="K61" s="104"/>
      <c r="L61" s="104">
        <f t="shared" si="23"/>
        <v>18439.936666666668</v>
      </c>
      <c r="M61" s="104"/>
      <c r="N61" s="104"/>
      <c r="O61" s="104"/>
    </row>
    <row r="62" spans="1:18" x14ac:dyDescent="0.25">
      <c r="A62" s="44" t="s">
        <v>55</v>
      </c>
      <c r="B62" s="44">
        <v>3</v>
      </c>
      <c r="C62" s="45">
        <f>134485.97+65553</f>
        <v>200038.97</v>
      </c>
      <c r="D62" s="45">
        <v>57500</v>
      </c>
      <c r="E62" s="45">
        <v>40814</v>
      </c>
      <c r="F62" s="45">
        <f t="shared" si="22"/>
        <v>4534.8888888888887</v>
      </c>
      <c r="G62" s="45"/>
      <c r="H62" s="115">
        <f t="shared" si="20"/>
        <v>1725</v>
      </c>
      <c r="I62" s="115">
        <f>55830+5000</f>
        <v>60830</v>
      </c>
      <c r="J62" s="116">
        <f t="shared" si="21"/>
        <v>5069.166666666667</v>
      </c>
      <c r="K62" s="101" t="s">
        <v>625</v>
      </c>
      <c r="L62" s="104">
        <f t="shared" si="23"/>
        <v>54826.806666666671</v>
      </c>
      <c r="M62" s="104"/>
      <c r="N62" s="104"/>
      <c r="O62" s="104"/>
    </row>
    <row r="63" spans="1:18" x14ac:dyDescent="0.25">
      <c r="A63" s="44" t="s">
        <v>496</v>
      </c>
      <c r="B63" s="44"/>
      <c r="C63" s="118"/>
      <c r="D63" s="45">
        <v>4000</v>
      </c>
      <c r="E63" s="46">
        <v>2906</v>
      </c>
      <c r="F63" s="46">
        <f t="shared" si="22"/>
        <v>322.88888888888891</v>
      </c>
      <c r="G63" s="46"/>
      <c r="H63" s="57">
        <v>0</v>
      </c>
      <c r="I63" s="57">
        <v>3900</v>
      </c>
      <c r="J63" s="58">
        <f t="shared" si="21"/>
        <v>325</v>
      </c>
      <c r="K63" s="101"/>
      <c r="L63" s="104">
        <f t="shared" si="23"/>
        <v>3903.7266666666669</v>
      </c>
      <c r="M63" s="104"/>
      <c r="N63" s="104"/>
      <c r="O63" s="104"/>
      <c r="P63" s="104"/>
      <c r="Q63" s="104"/>
      <c r="R63" s="104"/>
    </row>
    <row r="64" spans="1:18" x14ac:dyDescent="0.25">
      <c r="A64" s="44" t="s">
        <v>497</v>
      </c>
      <c r="B64" s="44"/>
      <c r="C64" s="118"/>
      <c r="D64" s="45">
        <v>4500</v>
      </c>
      <c r="E64" s="46">
        <v>5611</v>
      </c>
      <c r="F64" s="46">
        <f t="shared" si="22"/>
        <v>623.44444444444446</v>
      </c>
      <c r="G64" s="46"/>
      <c r="H64" s="57">
        <v>0</v>
      </c>
      <c r="I64" s="57">
        <v>7540</v>
      </c>
      <c r="J64" s="58">
        <f t="shared" si="21"/>
        <v>628.33333333333337</v>
      </c>
      <c r="K64" s="101"/>
      <c r="L64" s="104">
        <f t="shared" si="23"/>
        <v>7537.4433333333336</v>
      </c>
      <c r="M64" s="104"/>
      <c r="N64" s="104"/>
      <c r="O64" s="104"/>
      <c r="P64" s="104"/>
      <c r="Q64" s="104"/>
      <c r="R64" s="104"/>
    </row>
    <row r="65" spans="1:18" x14ac:dyDescent="0.25">
      <c r="A65" s="44" t="s">
        <v>551</v>
      </c>
      <c r="B65" s="44"/>
      <c r="C65" s="118"/>
      <c r="D65" s="45">
        <v>20000</v>
      </c>
      <c r="E65" s="46">
        <v>0</v>
      </c>
      <c r="F65" s="46">
        <f t="shared" si="22"/>
        <v>0</v>
      </c>
      <c r="G65" s="46"/>
      <c r="H65" s="57"/>
      <c r="I65" s="57">
        <v>15000</v>
      </c>
      <c r="J65" s="58">
        <f t="shared" si="21"/>
        <v>1250</v>
      </c>
      <c r="K65" s="101"/>
      <c r="L65" s="104">
        <f t="shared" si="23"/>
        <v>0</v>
      </c>
      <c r="M65" s="104"/>
      <c r="N65" s="104"/>
      <c r="O65" s="104"/>
      <c r="P65" s="104"/>
      <c r="Q65" s="104"/>
      <c r="R65" s="104"/>
    </row>
    <row r="66" spans="1:18" x14ac:dyDescent="0.25">
      <c r="A66" s="44" t="s">
        <v>343</v>
      </c>
      <c r="B66" s="44">
        <v>3</v>
      </c>
      <c r="C66" s="45">
        <f>26691.5+16299</f>
        <v>42990.5</v>
      </c>
      <c r="D66" s="45">
        <v>10940</v>
      </c>
      <c r="E66" s="45">
        <v>7155</v>
      </c>
      <c r="F66" s="45">
        <f t="shared" si="22"/>
        <v>795</v>
      </c>
      <c r="G66" s="45"/>
      <c r="H66" s="115">
        <f t="shared" si="20"/>
        <v>328.2</v>
      </c>
      <c r="I66" s="115">
        <v>9610</v>
      </c>
      <c r="J66" s="116">
        <f t="shared" si="21"/>
        <v>800.83333333333337</v>
      </c>
      <c r="K66" s="104"/>
      <c r="L66" s="104">
        <f t="shared" si="23"/>
        <v>9611.5499999999993</v>
      </c>
      <c r="M66" s="104"/>
      <c r="N66" s="104"/>
      <c r="O66" s="104"/>
    </row>
    <row r="67" spans="1:18" x14ac:dyDescent="0.25">
      <c r="A67" s="44" t="s">
        <v>57</v>
      </c>
      <c r="B67" s="44">
        <v>3</v>
      </c>
      <c r="C67" s="45">
        <f>30017.16+3333</f>
        <v>33350.160000000003</v>
      </c>
      <c r="D67" s="45">
        <v>12030</v>
      </c>
      <c r="E67" s="45">
        <v>9433</v>
      </c>
      <c r="F67" s="45">
        <f t="shared" si="22"/>
        <v>1048.1111111111111</v>
      </c>
      <c r="G67" s="45"/>
      <c r="H67" s="115">
        <f t="shared" si="20"/>
        <v>360.9</v>
      </c>
      <c r="I67" s="115">
        <v>15750</v>
      </c>
      <c r="J67" s="116">
        <f t="shared" si="21"/>
        <v>1312.5</v>
      </c>
      <c r="K67" s="101" t="s">
        <v>600</v>
      </c>
      <c r="L67" s="104">
        <f t="shared" si="23"/>
        <v>12671.663333333334</v>
      </c>
      <c r="M67" s="104"/>
      <c r="N67" s="104"/>
      <c r="O67" s="104"/>
    </row>
    <row r="68" spans="1:18" x14ac:dyDescent="0.25">
      <c r="A68" s="44" t="s">
        <v>344</v>
      </c>
      <c r="B68" s="44">
        <v>3</v>
      </c>
      <c r="C68" s="52">
        <f>38199.55+8140</f>
        <v>46339.55</v>
      </c>
      <c r="D68" s="52">
        <v>17700</v>
      </c>
      <c r="E68" s="52">
        <v>11460</v>
      </c>
      <c r="F68" s="52">
        <f>E68/9</f>
        <v>1273.3333333333333</v>
      </c>
      <c r="G68" s="52"/>
      <c r="H68" s="142">
        <f t="shared" si="20"/>
        <v>531</v>
      </c>
      <c r="I68" s="142">
        <v>15390</v>
      </c>
      <c r="J68" s="120">
        <f t="shared" si="21"/>
        <v>1282.5</v>
      </c>
      <c r="K68" s="104"/>
      <c r="L68" s="104">
        <f t="shared" si="23"/>
        <v>15394.6</v>
      </c>
      <c r="M68" s="104"/>
      <c r="N68" s="104"/>
      <c r="O68" s="104"/>
    </row>
    <row r="69" spans="1:18" x14ac:dyDescent="0.25">
      <c r="A69" s="75" t="s">
        <v>84</v>
      </c>
      <c r="B69" s="44"/>
      <c r="C69" s="45">
        <f>SUM(C54:C68)</f>
        <v>485651.50999999995</v>
      </c>
      <c r="D69" s="45">
        <f>SUM(D54:D68)</f>
        <v>168210</v>
      </c>
      <c r="E69" s="45">
        <f>SUM(E54:E68)</f>
        <v>116132</v>
      </c>
      <c r="F69" s="45">
        <f>SUM(F56:F68)</f>
        <v>12903.555555555557</v>
      </c>
      <c r="G69" s="45"/>
      <c r="H69" s="115">
        <f>SUM(H54:H68)</f>
        <v>4191.2999999999993</v>
      </c>
      <c r="I69" s="115">
        <f>SUM(I54:I68)</f>
        <v>179890</v>
      </c>
      <c r="J69" s="116">
        <f t="shared" si="21"/>
        <v>14990.833333333334</v>
      </c>
      <c r="K69" s="104"/>
      <c r="L69" s="104"/>
      <c r="M69" s="104"/>
      <c r="N69" s="104"/>
      <c r="O69" s="104"/>
    </row>
    <row r="70" spans="1:18" x14ac:dyDescent="0.25">
      <c r="A70" s="44"/>
      <c r="B70" s="44"/>
      <c r="C70" s="45"/>
      <c r="D70" s="45"/>
      <c r="E70" s="45"/>
      <c r="F70" s="45"/>
      <c r="G70" s="45"/>
      <c r="H70" s="115"/>
      <c r="I70" s="115"/>
      <c r="J70" s="116"/>
      <c r="K70" s="104"/>
      <c r="L70" s="104"/>
      <c r="M70" s="104"/>
      <c r="N70" s="104"/>
      <c r="O70" s="104"/>
    </row>
    <row r="71" spans="1:18" x14ac:dyDescent="0.25">
      <c r="A71" s="75" t="s">
        <v>452</v>
      </c>
      <c r="B71" s="44"/>
      <c r="C71" s="45"/>
      <c r="D71" s="45"/>
      <c r="E71" s="45"/>
      <c r="F71" s="45"/>
      <c r="G71" s="45"/>
      <c r="H71" s="115"/>
      <c r="I71" s="115"/>
      <c r="J71" s="116"/>
      <c r="K71" s="104"/>
      <c r="L71" s="104"/>
      <c r="M71" s="104"/>
      <c r="N71" s="104"/>
      <c r="O71" s="104"/>
    </row>
    <row r="72" spans="1:18" x14ac:dyDescent="0.25">
      <c r="A72" s="44" t="s">
        <v>42</v>
      </c>
      <c r="B72" s="44">
        <v>3</v>
      </c>
      <c r="C72" s="45">
        <f>18974.38+5883</f>
        <v>24857.38</v>
      </c>
      <c r="D72" s="45">
        <v>7100</v>
      </c>
      <c r="E72" s="45">
        <v>4900</v>
      </c>
      <c r="F72" s="45">
        <f>E72/9</f>
        <v>544.44444444444446</v>
      </c>
      <c r="G72" s="45"/>
      <c r="H72" s="115">
        <f>E72*$N$72</f>
        <v>374.84999999999997</v>
      </c>
      <c r="I72" s="115">
        <v>6590</v>
      </c>
      <c r="J72" s="116">
        <f t="shared" ref="J72:J80" si="24">I72/12</f>
        <v>549.16666666666663</v>
      </c>
      <c r="K72" s="101" t="s">
        <v>425</v>
      </c>
      <c r="L72" s="104">
        <f>SUM($I$30+$I$36)*7.65%</f>
        <v>6591.24</v>
      </c>
      <c r="M72" s="104"/>
      <c r="N72" s="166">
        <v>7.6499999999999999E-2</v>
      </c>
      <c r="O72" s="104"/>
    </row>
    <row r="73" spans="1:18" x14ac:dyDescent="0.25">
      <c r="A73" s="44" t="s">
        <v>224</v>
      </c>
      <c r="B73" s="44">
        <v>3</v>
      </c>
      <c r="C73" s="45">
        <f>11050.22+12349</f>
        <v>23399.22</v>
      </c>
      <c r="D73" s="45">
        <v>6110</v>
      </c>
      <c r="E73" s="45">
        <v>17115</v>
      </c>
      <c r="F73" s="45">
        <f t="shared" ref="F73:F78" si="25">E73/9</f>
        <v>1901.6666666666667</v>
      </c>
      <c r="G73" s="45"/>
      <c r="H73" s="115">
        <f>E73*$N$73</f>
        <v>855.75</v>
      </c>
      <c r="I73" s="115">
        <v>23100</v>
      </c>
      <c r="J73" s="116">
        <f t="shared" si="24"/>
        <v>1925</v>
      </c>
      <c r="K73" s="101" t="s">
        <v>422</v>
      </c>
      <c r="L73" s="104">
        <f>SUM(E73)+(F73*3)*1.05</f>
        <v>23105.25</v>
      </c>
      <c r="M73" s="104"/>
      <c r="N73" s="165">
        <v>0.05</v>
      </c>
      <c r="O73" s="104"/>
    </row>
    <row r="74" spans="1:18" x14ac:dyDescent="0.25">
      <c r="A74" s="44" t="s">
        <v>59</v>
      </c>
      <c r="B74" s="44">
        <v>3</v>
      </c>
      <c r="C74" s="45">
        <f>70139.53+1215</f>
        <v>71354.53</v>
      </c>
      <c r="D74" s="45">
        <v>27820</v>
      </c>
      <c r="E74" s="45">
        <v>17411</v>
      </c>
      <c r="F74" s="45">
        <f t="shared" si="25"/>
        <v>1934.5555555555557</v>
      </c>
      <c r="G74" s="45"/>
      <c r="H74" s="115">
        <f>D74*$N$74</f>
        <v>8346</v>
      </c>
      <c r="I74" s="115">
        <v>25850</v>
      </c>
      <c r="J74" s="116">
        <f t="shared" si="24"/>
        <v>2154.1666666666665</v>
      </c>
      <c r="K74" s="101" t="s">
        <v>502</v>
      </c>
      <c r="L74" s="104">
        <f>SUM($I$30+$I$36)*30%</f>
        <v>25848</v>
      </c>
      <c r="M74" s="104"/>
      <c r="N74" s="165">
        <v>0.3</v>
      </c>
      <c r="O74" s="104"/>
    </row>
    <row r="75" spans="1:18" x14ac:dyDescent="0.25">
      <c r="A75" s="44" t="s">
        <v>345</v>
      </c>
      <c r="B75" s="44">
        <v>3</v>
      </c>
      <c r="C75" s="45">
        <v>815</v>
      </c>
      <c r="D75" s="45">
        <v>2480</v>
      </c>
      <c r="E75" s="45">
        <v>2979</v>
      </c>
      <c r="F75" s="45">
        <f t="shared" si="25"/>
        <v>331</v>
      </c>
      <c r="G75" s="45"/>
      <c r="H75" s="115">
        <f>D75*$N$8</f>
        <v>74.399999999999991</v>
      </c>
      <c r="I75" s="115">
        <v>2760</v>
      </c>
      <c r="J75" s="116">
        <f t="shared" si="24"/>
        <v>230</v>
      </c>
      <c r="K75" s="101" t="s">
        <v>543</v>
      </c>
      <c r="L75" s="104">
        <f>SUM($I$30+$I$36)*3%</f>
        <v>2584.7999999999997</v>
      </c>
      <c r="M75" s="104"/>
      <c r="N75" s="104"/>
      <c r="O75" s="104"/>
    </row>
    <row r="76" spans="1:18" hidden="1" x14ac:dyDescent="0.25">
      <c r="A76" s="44" t="s">
        <v>511</v>
      </c>
      <c r="B76" s="44"/>
      <c r="C76" s="45"/>
      <c r="D76" s="45">
        <v>0</v>
      </c>
      <c r="E76" s="45">
        <v>0</v>
      </c>
      <c r="F76" s="45">
        <f t="shared" si="25"/>
        <v>0</v>
      </c>
      <c r="G76" s="45"/>
      <c r="H76" s="115"/>
      <c r="I76" s="115">
        <v>0</v>
      </c>
      <c r="J76" s="116">
        <f t="shared" si="24"/>
        <v>0</v>
      </c>
      <c r="K76" s="101"/>
      <c r="L76" s="104">
        <f t="shared" ref="L76:L78" si="26">SUM(E76)+(F76*3)*1.03</f>
        <v>0</v>
      </c>
      <c r="M76" s="104"/>
      <c r="N76" s="104"/>
      <c r="O76" s="104"/>
    </row>
    <row r="77" spans="1:18" x14ac:dyDescent="0.25">
      <c r="A77" s="44" t="s">
        <v>61</v>
      </c>
      <c r="B77" s="44">
        <v>3</v>
      </c>
      <c r="C77" s="45">
        <v>757</v>
      </c>
      <c r="D77" s="45">
        <v>0</v>
      </c>
      <c r="E77" s="45">
        <v>1476</v>
      </c>
      <c r="F77" s="45">
        <f t="shared" si="25"/>
        <v>164</v>
      </c>
      <c r="G77" s="45"/>
      <c r="H77" s="115">
        <f>D77*$N$8</f>
        <v>0</v>
      </c>
      <c r="I77" s="115">
        <v>1980</v>
      </c>
      <c r="J77" s="116">
        <f t="shared" si="24"/>
        <v>165</v>
      </c>
      <c r="K77" s="104"/>
      <c r="L77" s="104">
        <f t="shared" si="26"/>
        <v>1982.76</v>
      </c>
      <c r="M77" s="104"/>
      <c r="N77" s="104"/>
      <c r="O77" s="104"/>
    </row>
    <row r="78" spans="1:18" x14ac:dyDescent="0.25">
      <c r="A78" s="44" t="s">
        <v>346</v>
      </c>
      <c r="B78" s="44">
        <v>3</v>
      </c>
      <c r="C78" s="45">
        <v>145</v>
      </c>
      <c r="D78" s="45">
        <v>460</v>
      </c>
      <c r="E78" s="45">
        <v>124</v>
      </c>
      <c r="F78" s="45">
        <f t="shared" si="25"/>
        <v>13.777777777777779</v>
      </c>
      <c r="G78" s="45"/>
      <c r="H78" s="115">
        <f>D78*$N$8</f>
        <v>13.799999999999999</v>
      </c>
      <c r="I78" s="115">
        <v>170</v>
      </c>
      <c r="J78" s="116">
        <f t="shared" si="24"/>
        <v>14.166666666666666</v>
      </c>
      <c r="K78" s="101" t="s">
        <v>347</v>
      </c>
      <c r="L78" s="104">
        <f t="shared" si="26"/>
        <v>166.57333333333332</v>
      </c>
      <c r="M78" s="104"/>
      <c r="N78" s="104"/>
      <c r="O78" s="104"/>
    </row>
    <row r="79" spans="1:18" x14ac:dyDescent="0.25">
      <c r="A79" s="44" t="s">
        <v>348</v>
      </c>
      <c r="B79" s="44">
        <v>3</v>
      </c>
      <c r="C79" s="45">
        <f>28668.48+32614</f>
        <v>61282.479999999996</v>
      </c>
      <c r="D79" s="45">
        <v>14820</v>
      </c>
      <c r="E79" s="45">
        <v>9877</v>
      </c>
      <c r="F79" s="45">
        <f>E79/9</f>
        <v>1097.4444444444443</v>
      </c>
      <c r="G79" s="45"/>
      <c r="H79" s="115">
        <f>D79*$N$8</f>
        <v>444.59999999999997</v>
      </c>
      <c r="I79" s="115">
        <v>15260</v>
      </c>
      <c r="J79" s="116">
        <f t="shared" si="24"/>
        <v>1271.6666666666667</v>
      </c>
      <c r="K79" s="101" t="s">
        <v>608</v>
      </c>
      <c r="L79" s="104"/>
      <c r="M79" s="104"/>
      <c r="N79" s="104"/>
      <c r="O79" s="104"/>
    </row>
    <row r="80" spans="1:18" x14ac:dyDescent="0.25">
      <c r="A80" s="44" t="s">
        <v>349</v>
      </c>
      <c r="B80" s="44">
        <v>3</v>
      </c>
      <c r="C80" s="52">
        <v>108660</v>
      </c>
      <c r="D80" s="52">
        <v>100580</v>
      </c>
      <c r="E80" s="52">
        <v>73465</v>
      </c>
      <c r="F80" s="52">
        <f>E80/9</f>
        <v>8162.7777777777774</v>
      </c>
      <c r="G80" s="52"/>
      <c r="H80" s="142">
        <v>0</v>
      </c>
      <c r="I80" s="142">
        <v>97950</v>
      </c>
      <c r="J80" s="120">
        <f t="shared" si="24"/>
        <v>8162.5</v>
      </c>
      <c r="K80" s="101" t="s">
        <v>253</v>
      </c>
      <c r="L80" s="104"/>
      <c r="M80" s="104"/>
      <c r="N80" s="104"/>
      <c r="O80" s="104"/>
    </row>
    <row r="81" spans="1:15" x14ac:dyDescent="0.25">
      <c r="A81" s="75" t="s">
        <v>85</v>
      </c>
      <c r="B81" s="44"/>
      <c r="C81" s="45">
        <f t="shared" ref="C81" si="27">SUM(C75:C80)</f>
        <v>171659.47999999998</v>
      </c>
      <c r="D81" s="45">
        <f>SUM(D72:D80)</f>
        <v>159370</v>
      </c>
      <c r="E81" s="45">
        <f>SUM(E72:E80)</f>
        <v>127347</v>
      </c>
      <c r="F81" s="45">
        <f>SUM(F72:F80)</f>
        <v>14149.666666666666</v>
      </c>
      <c r="G81" s="45"/>
      <c r="H81" s="115">
        <f>SUM(H72:H80)</f>
        <v>10109.4</v>
      </c>
      <c r="I81" s="115">
        <f>SUM(I72:I80)</f>
        <v>173660</v>
      </c>
      <c r="J81" s="116">
        <f>SUM(J72:J80)</f>
        <v>14471.666666666668</v>
      </c>
      <c r="K81" s="104"/>
      <c r="L81" s="104"/>
      <c r="M81" s="104"/>
      <c r="N81" s="104"/>
      <c r="O81" s="104"/>
    </row>
    <row r="82" spans="1:15" x14ac:dyDescent="0.25">
      <c r="A82" s="44"/>
      <c r="B82" s="44"/>
      <c r="C82" s="45"/>
      <c r="D82" s="45"/>
      <c r="E82" s="45"/>
      <c r="F82" s="45"/>
      <c r="G82" s="45"/>
      <c r="H82" s="115"/>
      <c r="I82" s="115"/>
      <c r="J82" s="116"/>
      <c r="K82" s="104"/>
      <c r="L82" s="104"/>
      <c r="M82" s="104"/>
      <c r="N82" s="104"/>
      <c r="O82" s="104"/>
    </row>
    <row r="83" spans="1:15" x14ac:dyDescent="0.25">
      <c r="A83" s="75" t="s">
        <v>454</v>
      </c>
      <c r="B83" s="44"/>
      <c r="C83" s="45"/>
      <c r="D83" s="45"/>
      <c r="E83" s="45"/>
      <c r="F83" s="45"/>
      <c r="G83" s="45"/>
      <c r="H83" s="115"/>
      <c r="I83" s="115"/>
      <c r="J83" s="116"/>
      <c r="K83" s="104"/>
      <c r="L83" s="104"/>
      <c r="M83" s="104"/>
      <c r="N83" s="104"/>
      <c r="O83" s="104"/>
    </row>
    <row r="84" spans="1:15" x14ac:dyDescent="0.25">
      <c r="A84" s="44" t="s">
        <v>307</v>
      </c>
      <c r="B84" s="44">
        <v>3</v>
      </c>
      <c r="C84" s="45">
        <v>131228.83333333331</v>
      </c>
      <c r="D84" s="45">
        <v>38650</v>
      </c>
      <c r="E84" s="45">
        <v>32776</v>
      </c>
      <c r="F84" s="45">
        <f>E84/9</f>
        <v>3641.7777777777778</v>
      </c>
      <c r="G84" s="45"/>
      <c r="H84" s="115">
        <v>0</v>
      </c>
      <c r="I84" s="115">
        <v>30350</v>
      </c>
      <c r="J84" s="116">
        <f>I84/12</f>
        <v>2529.1666666666665</v>
      </c>
      <c r="K84" s="101" t="s">
        <v>507</v>
      </c>
      <c r="L84" s="104"/>
      <c r="M84" s="104"/>
      <c r="N84" s="104"/>
      <c r="O84" s="104"/>
    </row>
    <row r="85" spans="1:15" x14ac:dyDescent="0.25">
      <c r="A85" s="44" t="s">
        <v>289</v>
      </c>
      <c r="B85" s="44">
        <v>3</v>
      </c>
      <c r="C85" s="52">
        <v>273017.75666666671</v>
      </c>
      <c r="D85" s="52">
        <v>150650</v>
      </c>
      <c r="E85" s="52">
        <v>124974</v>
      </c>
      <c r="F85" s="52">
        <f>E85/9</f>
        <v>13886</v>
      </c>
      <c r="G85" s="52"/>
      <c r="H85" s="142">
        <v>0</v>
      </c>
      <c r="I85" s="142">
        <v>158950</v>
      </c>
      <c r="J85" s="120">
        <f>I85/12</f>
        <v>13245.833333333334</v>
      </c>
      <c r="K85" s="101" t="s">
        <v>507</v>
      </c>
      <c r="L85" s="104"/>
      <c r="M85" s="104"/>
      <c r="N85" s="104"/>
      <c r="O85" s="104"/>
    </row>
    <row r="86" spans="1:15" x14ac:dyDescent="0.25">
      <c r="A86" s="75" t="s">
        <v>308</v>
      </c>
      <c r="B86" s="44"/>
      <c r="C86" s="45">
        <f>SUM(C84:C85)</f>
        <v>404246.59</v>
      </c>
      <c r="D86" s="45">
        <f t="shared" ref="D86:J86" si="28">SUM(D84:D85)</f>
        <v>189300</v>
      </c>
      <c r="E86" s="45">
        <f t="shared" si="28"/>
        <v>157750</v>
      </c>
      <c r="F86" s="45">
        <f>SUM(F84:F85)</f>
        <v>17527.777777777777</v>
      </c>
      <c r="G86" s="45"/>
      <c r="H86" s="115">
        <f t="shared" si="28"/>
        <v>0</v>
      </c>
      <c r="I86" s="115">
        <f t="shared" si="28"/>
        <v>189300</v>
      </c>
      <c r="J86" s="116">
        <f t="shared" si="28"/>
        <v>15775</v>
      </c>
      <c r="K86" s="104"/>
      <c r="L86" s="104"/>
      <c r="M86" s="104"/>
      <c r="N86" s="104"/>
      <c r="O86" s="104"/>
    </row>
    <row r="87" spans="1:15" x14ac:dyDescent="0.25">
      <c r="A87" s="44"/>
      <c r="B87" s="44"/>
      <c r="C87" s="45"/>
      <c r="D87" s="45"/>
      <c r="E87" s="45"/>
      <c r="F87" s="45"/>
      <c r="G87" s="45"/>
      <c r="H87" s="115"/>
      <c r="I87" s="115"/>
      <c r="J87" s="116"/>
      <c r="K87" s="104"/>
      <c r="L87" s="104"/>
      <c r="M87" s="104"/>
      <c r="N87" s="104"/>
      <c r="O87" s="104"/>
    </row>
    <row r="88" spans="1:15" x14ac:dyDescent="0.25">
      <c r="A88" s="75" t="s">
        <v>78</v>
      </c>
      <c r="B88" s="44"/>
      <c r="C88" s="45"/>
      <c r="D88" s="45"/>
      <c r="E88" s="45"/>
      <c r="F88" s="45"/>
      <c r="G88" s="45"/>
      <c r="H88" s="115"/>
      <c r="I88" s="115"/>
      <c r="J88" s="116"/>
      <c r="K88" s="104"/>
      <c r="L88" s="104"/>
      <c r="M88" s="104"/>
      <c r="N88" s="104"/>
      <c r="O88" s="104"/>
    </row>
    <row r="89" spans="1:15" x14ac:dyDescent="0.25">
      <c r="A89" s="44" t="s">
        <v>309</v>
      </c>
      <c r="B89" s="44">
        <v>3</v>
      </c>
      <c r="C89" s="52">
        <v>22362.799999999999</v>
      </c>
      <c r="D89" s="52">
        <v>9930</v>
      </c>
      <c r="E89" s="52">
        <v>7448</v>
      </c>
      <c r="F89" s="52">
        <f>E89/9</f>
        <v>827.55555555555554</v>
      </c>
      <c r="G89" s="52"/>
      <c r="H89" s="142">
        <v>0</v>
      </c>
      <c r="I89" s="142">
        <f t="shared" ref="I89" si="29">D89+H89</f>
        <v>9930</v>
      </c>
      <c r="J89" s="120">
        <f t="shared" ref="J89" si="30">I89/12</f>
        <v>827.5</v>
      </c>
      <c r="K89" s="104"/>
      <c r="L89" s="104"/>
      <c r="M89" s="104"/>
      <c r="N89" s="104"/>
      <c r="O89" s="104"/>
    </row>
    <row r="90" spans="1:15" x14ac:dyDescent="0.25">
      <c r="A90" s="75" t="s">
        <v>86</v>
      </c>
      <c r="B90" s="44"/>
      <c r="C90" s="45">
        <f>SUM(C87:C89)</f>
        <v>22362.799999999999</v>
      </c>
      <c r="D90" s="45">
        <f t="shared" ref="D90:J90" si="31">SUM(D87:D89)</f>
        <v>9930</v>
      </c>
      <c r="E90" s="45">
        <f t="shared" si="31"/>
        <v>7448</v>
      </c>
      <c r="F90" s="45">
        <f>SUM(F89)</f>
        <v>827.55555555555554</v>
      </c>
      <c r="G90" s="45"/>
      <c r="H90" s="115">
        <f t="shared" si="31"/>
        <v>0</v>
      </c>
      <c r="I90" s="115">
        <f t="shared" si="31"/>
        <v>9930</v>
      </c>
      <c r="J90" s="116">
        <f t="shared" si="31"/>
        <v>827.5</v>
      </c>
      <c r="K90" s="101"/>
      <c r="L90" s="104"/>
      <c r="M90" s="104"/>
      <c r="N90" s="104"/>
      <c r="O90" s="104"/>
    </row>
    <row r="91" spans="1:15" x14ac:dyDescent="0.25">
      <c r="A91" s="75"/>
      <c r="B91" s="44"/>
      <c r="C91" s="45"/>
      <c r="D91" s="45"/>
      <c r="E91" s="45"/>
      <c r="F91" s="45"/>
      <c r="G91" s="45"/>
      <c r="H91" s="115"/>
      <c r="I91" s="115"/>
      <c r="J91" s="116"/>
      <c r="K91" s="101"/>
      <c r="L91" s="104"/>
      <c r="M91" s="104"/>
      <c r="N91" s="104"/>
      <c r="O91" s="104"/>
    </row>
    <row r="92" spans="1:15" hidden="1" x14ac:dyDescent="0.25">
      <c r="A92" s="44" t="s">
        <v>351</v>
      </c>
      <c r="B92" s="44">
        <v>3</v>
      </c>
      <c r="C92" s="45">
        <v>0</v>
      </c>
      <c r="D92" s="45">
        <f t="shared" ref="D92:D94" si="32">C92/3</f>
        <v>0</v>
      </c>
      <c r="E92" s="45">
        <f t="shared" ref="E92:E97" si="33">D92/12</f>
        <v>0</v>
      </c>
      <c r="F92" s="45"/>
      <c r="G92" s="45"/>
      <c r="H92" s="111"/>
      <c r="I92" s="111"/>
      <c r="J92" s="95"/>
      <c r="K92" s="101"/>
      <c r="L92" s="104"/>
      <c r="M92" s="104"/>
      <c r="N92" s="104"/>
      <c r="O92" s="104"/>
    </row>
    <row r="93" spans="1:15" hidden="1" x14ac:dyDescent="0.25">
      <c r="A93" s="44" t="s">
        <v>352</v>
      </c>
      <c r="B93" s="44">
        <v>3</v>
      </c>
      <c r="C93" s="45">
        <v>0</v>
      </c>
      <c r="D93" s="45">
        <f t="shared" si="32"/>
        <v>0</v>
      </c>
      <c r="E93" s="45">
        <f t="shared" si="33"/>
        <v>0</v>
      </c>
      <c r="F93" s="45"/>
      <c r="G93" s="45"/>
      <c r="H93" s="111"/>
      <c r="I93" s="111"/>
      <c r="J93" s="95"/>
      <c r="K93" s="101"/>
      <c r="L93" s="104"/>
      <c r="M93" s="104"/>
      <c r="N93" s="104"/>
      <c r="O93" s="104"/>
    </row>
    <row r="94" spans="1:15" hidden="1" x14ac:dyDescent="0.25">
      <c r="A94" s="44" t="s">
        <v>254</v>
      </c>
      <c r="B94" s="44">
        <v>3</v>
      </c>
      <c r="C94" s="45">
        <v>0</v>
      </c>
      <c r="D94" s="45">
        <f t="shared" si="32"/>
        <v>0</v>
      </c>
      <c r="E94" s="45">
        <f t="shared" si="33"/>
        <v>0</v>
      </c>
      <c r="F94" s="45"/>
      <c r="G94" s="45"/>
      <c r="H94" s="115">
        <v>0</v>
      </c>
      <c r="I94" s="115">
        <f t="shared" ref="I94" si="34">D94+H94</f>
        <v>0</v>
      </c>
      <c r="J94" s="116">
        <f t="shared" ref="J94:J100" si="35">I94/12</f>
        <v>0</v>
      </c>
      <c r="K94" s="101"/>
      <c r="L94" s="104"/>
      <c r="M94" s="104"/>
      <c r="N94" s="104"/>
      <c r="O94" s="104"/>
    </row>
    <row r="95" spans="1:15" x14ac:dyDescent="0.25">
      <c r="A95" s="75" t="s">
        <v>453</v>
      </c>
      <c r="B95" s="44"/>
      <c r="C95" s="45"/>
      <c r="D95" s="45"/>
      <c r="E95" s="45"/>
      <c r="F95" s="45"/>
      <c r="G95" s="45"/>
      <c r="H95" s="115"/>
      <c r="I95" s="115"/>
      <c r="J95" s="116"/>
      <c r="K95" s="101"/>
      <c r="L95" s="104"/>
      <c r="M95" s="104"/>
      <c r="N95" s="104"/>
      <c r="O95" s="104"/>
    </row>
    <row r="96" spans="1:15" x14ac:dyDescent="0.25">
      <c r="A96" s="44" t="s">
        <v>311</v>
      </c>
      <c r="B96" s="44">
        <v>3</v>
      </c>
      <c r="C96" s="45">
        <v>0</v>
      </c>
      <c r="D96" s="45">
        <v>0</v>
      </c>
      <c r="E96" s="45">
        <v>0</v>
      </c>
      <c r="F96" s="45">
        <f>E96/9</f>
        <v>0</v>
      </c>
      <c r="G96" s="45"/>
      <c r="H96" s="115">
        <v>0</v>
      </c>
      <c r="I96" s="115">
        <v>10000</v>
      </c>
      <c r="J96" s="116">
        <f t="shared" si="35"/>
        <v>833.33333333333337</v>
      </c>
      <c r="K96" s="101" t="s">
        <v>622</v>
      </c>
      <c r="L96" s="104"/>
      <c r="M96" s="104"/>
      <c r="N96" s="104"/>
      <c r="O96" s="104"/>
    </row>
    <row r="97" spans="1:15" hidden="1" x14ac:dyDescent="0.25">
      <c r="A97" s="44" t="s">
        <v>353</v>
      </c>
      <c r="B97" s="44">
        <v>3</v>
      </c>
      <c r="C97" s="45">
        <v>0</v>
      </c>
      <c r="D97" s="45">
        <v>0</v>
      </c>
      <c r="E97" s="45">
        <f t="shared" si="33"/>
        <v>0</v>
      </c>
      <c r="F97" s="45">
        <f t="shared" ref="F97:F100" si="36">E97/9</f>
        <v>0</v>
      </c>
      <c r="G97" s="45"/>
      <c r="H97" s="115">
        <v>0</v>
      </c>
      <c r="I97" s="115">
        <v>0</v>
      </c>
      <c r="J97" s="116">
        <f t="shared" si="35"/>
        <v>0</v>
      </c>
      <c r="K97" s="101"/>
      <c r="L97" s="104"/>
      <c r="M97" s="104"/>
      <c r="N97" s="104"/>
      <c r="O97" s="104"/>
    </row>
    <row r="98" spans="1:15" hidden="1" x14ac:dyDescent="0.25">
      <c r="A98" s="44" t="s">
        <v>354</v>
      </c>
      <c r="B98" s="44">
        <v>3</v>
      </c>
      <c r="C98" s="45">
        <v>18916.21333333333</v>
      </c>
      <c r="D98" s="45">
        <v>0</v>
      </c>
      <c r="E98" s="45">
        <v>0</v>
      </c>
      <c r="F98" s="45">
        <f t="shared" si="36"/>
        <v>0</v>
      </c>
      <c r="G98" s="45"/>
      <c r="H98" s="115">
        <v>0</v>
      </c>
      <c r="I98" s="115">
        <v>0</v>
      </c>
      <c r="J98" s="116">
        <f t="shared" si="35"/>
        <v>0</v>
      </c>
      <c r="K98" s="101"/>
      <c r="L98" s="104"/>
      <c r="M98" s="104"/>
      <c r="N98" s="104"/>
      <c r="O98" s="104"/>
    </row>
    <row r="99" spans="1:15" hidden="1" x14ac:dyDescent="0.25">
      <c r="A99" s="44" t="s">
        <v>64</v>
      </c>
      <c r="B99" s="44">
        <v>3</v>
      </c>
      <c r="C99" s="45">
        <v>0</v>
      </c>
      <c r="D99" s="45">
        <v>0</v>
      </c>
      <c r="E99" s="45">
        <v>0</v>
      </c>
      <c r="F99" s="45">
        <f t="shared" si="36"/>
        <v>0</v>
      </c>
      <c r="G99" s="45"/>
      <c r="H99" s="115">
        <v>0</v>
      </c>
      <c r="I99" s="115">
        <v>0</v>
      </c>
      <c r="J99" s="116">
        <f t="shared" si="35"/>
        <v>0</v>
      </c>
      <c r="K99" s="101"/>
      <c r="L99" s="104"/>
      <c r="M99" s="104"/>
      <c r="N99" s="104"/>
      <c r="O99" s="104"/>
    </row>
    <row r="100" spans="1:15" hidden="1" x14ac:dyDescent="0.25">
      <c r="A100" s="44" t="s">
        <v>26</v>
      </c>
      <c r="B100" s="44">
        <v>3</v>
      </c>
      <c r="C100" s="45">
        <v>30606.44</v>
      </c>
      <c r="D100" s="45">
        <v>0</v>
      </c>
      <c r="E100" s="45">
        <v>0</v>
      </c>
      <c r="F100" s="45">
        <f t="shared" si="36"/>
        <v>0</v>
      </c>
      <c r="G100" s="45"/>
      <c r="H100" s="115">
        <v>0</v>
      </c>
      <c r="I100" s="115">
        <v>0</v>
      </c>
      <c r="J100" s="116">
        <f t="shared" si="35"/>
        <v>0</v>
      </c>
      <c r="K100" s="101"/>
      <c r="L100" s="104"/>
      <c r="M100" s="104"/>
      <c r="N100" s="104"/>
      <c r="O100" s="104"/>
    </row>
    <row r="101" spans="1:15" ht="0.75" customHeight="1" x14ac:dyDescent="0.25">
      <c r="A101" s="44"/>
      <c r="B101" s="44">
        <v>3</v>
      </c>
      <c r="C101" s="52">
        <v>1253.3333333333333</v>
      </c>
      <c r="D101" s="52"/>
      <c r="E101" s="52"/>
      <c r="F101" s="52"/>
      <c r="G101" s="52"/>
      <c r="H101" s="142">
        <v>0</v>
      </c>
      <c r="I101" s="142"/>
      <c r="J101" s="120"/>
      <c r="K101" s="101"/>
      <c r="L101" s="104"/>
      <c r="M101" s="104"/>
      <c r="N101" s="104"/>
      <c r="O101" s="104"/>
    </row>
    <row r="102" spans="1:15" ht="15.75" thickBot="1" x14ac:dyDescent="0.3">
      <c r="A102" s="75" t="s">
        <v>314</v>
      </c>
      <c r="B102" s="44"/>
      <c r="C102" s="45">
        <f>SUM(C93:C101)</f>
        <v>50775.986666666664</v>
      </c>
      <c r="D102" s="45">
        <f t="shared" ref="D102:J102" si="37">SUM(D93:D101)</f>
        <v>0</v>
      </c>
      <c r="E102" s="45">
        <f t="shared" si="37"/>
        <v>0</v>
      </c>
      <c r="F102" s="45">
        <f>SUM(F96:F101)</f>
        <v>0</v>
      </c>
      <c r="G102" s="45"/>
      <c r="H102" s="97">
        <f t="shared" si="37"/>
        <v>0</v>
      </c>
      <c r="I102" s="97">
        <f t="shared" si="37"/>
        <v>10000</v>
      </c>
      <c r="J102" s="98">
        <f t="shared" si="37"/>
        <v>833.33333333333337</v>
      </c>
      <c r="K102" s="101"/>
      <c r="L102" s="104"/>
      <c r="M102" s="104"/>
      <c r="N102" s="104"/>
      <c r="O102" s="104"/>
    </row>
    <row r="103" spans="1:15" x14ac:dyDescent="0.25">
      <c r="A103" s="44"/>
      <c r="B103" s="44"/>
      <c r="C103" s="45"/>
      <c r="D103" s="44"/>
      <c r="E103" s="44"/>
      <c r="F103" s="44"/>
      <c r="G103" s="44"/>
      <c r="H103" s="104"/>
      <c r="I103" s="104"/>
      <c r="J103" s="104"/>
      <c r="K103" s="101"/>
      <c r="L103" s="104"/>
      <c r="M103" s="104"/>
      <c r="N103" s="104"/>
      <c r="O103" s="104"/>
    </row>
    <row r="104" spans="1:15" x14ac:dyDescent="0.25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1"/>
      <c r="L104" s="104"/>
      <c r="M104" s="104"/>
      <c r="N104" s="104"/>
      <c r="O104" s="104"/>
    </row>
    <row r="105" spans="1:15" x14ac:dyDescent="0.25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</row>
  </sheetData>
  <customSheetViews>
    <customSheetView guid="{D54A66AC-88E3-46FB-AFE3-2E559F565FEB}" scale="80" hiddenRows="1" hiddenColumns="1">
      <pane xSplit="2" ySplit="4" topLeftCell="D49" activePane="bottomRight" state="frozen"/>
      <selection pane="bottomRight" activeCell="L1" sqref="L1:O1048576"/>
      <pageMargins left="0.75" right="0.75" top="1" bottom="1" header="0.5" footer="0.5"/>
      <pageSetup scale="44" fitToHeight="2" orientation="portrait" r:id="rId1"/>
      <headerFooter alignWithMargins="0"/>
    </customSheetView>
  </customSheetViews>
  <pageMargins left="0.75" right="0.75" top="1" bottom="1" header="0.5" footer="0.5"/>
  <pageSetup scale="44" fitToHeight="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zoomScale="80" zoomScaleNormal="80" workbookViewId="0">
      <pane xSplit="3" ySplit="4" topLeftCell="D23" activePane="bottomRight" state="frozen"/>
      <selection activeCell="A180" sqref="A180"/>
      <selection pane="topRight" activeCell="A180" sqref="A180"/>
      <selection pane="bottomLeft" activeCell="A180" sqref="A180"/>
      <selection pane="bottomRight" activeCell="K37" sqref="K37"/>
    </sheetView>
  </sheetViews>
  <sheetFormatPr defaultRowHeight="15" x14ac:dyDescent="0.25"/>
  <cols>
    <col min="1" max="1" width="57.140625" bestFit="1" customWidth="1"/>
    <col min="2" max="2" width="9.140625" hidden="1" customWidth="1"/>
    <col min="3" max="3" width="12" hidden="1" customWidth="1"/>
    <col min="4" max="4" width="15.42578125" bestFit="1" customWidth="1"/>
    <col min="5" max="5" width="14.140625" bestFit="1" customWidth="1"/>
    <col min="6" max="6" width="11.42578125" customWidth="1"/>
    <col min="7" max="7" width="3.28515625" customWidth="1"/>
    <col min="8" max="8" width="9.140625" hidden="1" customWidth="1"/>
    <col min="9" max="9" width="25" customWidth="1"/>
    <col min="10" max="10" width="12.85546875" bestFit="1" customWidth="1"/>
    <col min="11" max="11" width="58.7109375" customWidth="1"/>
    <col min="12" max="12" width="21.28515625" hidden="1" customWidth="1"/>
    <col min="13" max="15" width="0" hidden="1" customWidth="1"/>
  </cols>
  <sheetData>
    <row r="1" spans="1:13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Rehab!I1</f>
        <v>Projected Annual Budget 2017</v>
      </c>
      <c r="J1" s="125"/>
      <c r="K1" s="108"/>
    </row>
    <row r="2" spans="1:13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44" t="s">
        <v>590</v>
      </c>
    </row>
    <row r="3" spans="1:13" ht="21" thickBot="1" x14ac:dyDescent="0.35">
      <c r="A3" s="99" t="s">
        <v>660</v>
      </c>
      <c r="B3" s="104"/>
      <c r="C3" s="104"/>
      <c r="D3" s="109"/>
      <c r="E3" s="104"/>
      <c r="F3" s="104"/>
      <c r="G3" s="104"/>
      <c r="H3" s="104"/>
      <c r="I3" s="110"/>
      <c r="J3" s="95"/>
      <c r="K3" s="273" t="s">
        <v>639</v>
      </c>
    </row>
    <row r="4" spans="1:13" ht="45.75" thickBot="1" x14ac:dyDescent="0.3">
      <c r="A4" s="39" t="s">
        <v>71</v>
      </c>
      <c r="B4" s="39" t="s">
        <v>72</v>
      </c>
      <c r="C4" s="39" t="s">
        <v>73</v>
      </c>
      <c r="D4" s="40" t="str">
        <f>Rehab!D4</f>
        <v>2016 Annual Budget</v>
      </c>
      <c r="E4" s="40" t="str">
        <f>Rehab!E4</f>
        <v>YTD Actual FY 2016 @ 9/30/16</v>
      </c>
      <c r="F4" s="40" t="str">
        <f>Rehab!F4</f>
        <v>FY 2016 - 9 month Avg</v>
      </c>
      <c r="G4" s="126"/>
      <c r="H4" s="111"/>
      <c r="I4" s="127" t="s">
        <v>427</v>
      </c>
      <c r="J4" s="113" t="s">
        <v>428</v>
      </c>
      <c r="K4" s="145"/>
      <c r="M4" s="21" t="s">
        <v>74</v>
      </c>
    </row>
    <row r="5" spans="1:13" x14ac:dyDescent="0.25">
      <c r="A5" s="104"/>
      <c r="B5" s="104"/>
      <c r="C5" s="104"/>
      <c r="D5" s="104"/>
      <c r="E5" s="104"/>
      <c r="F5" s="104"/>
      <c r="G5" s="104"/>
      <c r="H5" s="146"/>
      <c r="I5" s="146"/>
      <c r="J5" s="147"/>
      <c r="K5" s="145"/>
      <c r="M5" s="23">
        <v>0.05</v>
      </c>
    </row>
    <row r="6" spans="1:13" x14ac:dyDescent="0.25">
      <c r="A6" s="44" t="s">
        <v>33</v>
      </c>
      <c r="B6" s="44">
        <v>3</v>
      </c>
      <c r="C6" s="45">
        <f>-2451678.54+33357</f>
        <v>-2418321.54</v>
      </c>
      <c r="D6" s="46">
        <v>891650</v>
      </c>
      <c r="E6" s="46">
        <v>719347</v>
      </c>
      <c r="F6" s="46">
        <f>E6/9</f>
        <v>79927.444444444438</v>
      </c>
      <c r="G6" s="46"/>
      <c r="H6" s="57">
        <v>0</v>
      </c>
      <c r="I6" s="57">
        <v>966320</v>
      </c>
      <c r="J6" s="58">
        <f t="shared" ref="J6:J8" si="0">I6/12</f>
        <v>80526.666666666672</v>
      </c>
      <c r="K6" s="145"/>
      <c r="L6">
        <f t="shared" ref="L6:L17" si="1">SUM(E6)+(F6*3)*1.03</f>
        <v>966322.80333333334</v>
      </c>
      <c r="M6" s="21" t="s">
        <v>392</v>
      </c>
    </row>
    <row r="7" spans="1:13" hidden="1" x14ac:dyDescent="0.25">
      <c r="A7" s="44" t="s">
        <v>208</v>
      </c>
      <c r="B7" s="44">
        <v>3</v>
      </c>
      <c r="C7" s="45">
        <v>1985</v>
      </c>
      <c r="D7" s="46">
        <v>0</v>
      </c>
      <c r="E7" s="46">
        <v>0</v>
      </c>
      <c r="F7" s="46">
        <f t="shared" ref="F7:F13" si="2">E7/9</f>
        <v>0</v>
      </c>
      <c r="G7" s="46"/>
      <c r="H7" s="57">
        <v>0</v>
      </c>
      <c r="I7" s="57">
        <v>0</v>
      </c>
      <c r="J7" s="58">
        <f t="shared" si="0"/>
        <v>0</v>
      </c>
      <c r="K7" s="145"/>
      <c r="L7">
        <f t="shared" si="1"/>
        <v>0</v>
      </c>
      <c r="M7" s="23">
        <v>0.03</v>
      </c>
    </row>
    <row r="8" spans="1:13" x14ac:dyDescent="0.25">
      <c r="A8" s="44" t="s">
        <v>227</v>
      </c>
      <c r="B8" s="44"/>
      <c r="C8" s="45"/>
      <c r="D8" s="46">
        <v>0</v>
      </c>
      <c r="E8" s="46">
        <v>0</v>
      </c>
      <c r="F8" s="46">
        <f t="shared" si="2"/>
        <v>0</v>
      </c>
      <c r="G8" s="46"/>
      <c r="H8" s="57">
        <v>0</v>
      </c>
      <c r="I8" s="57">
        <v>0</v>
      </c>
      <c r="J8" s="58">
        <f t="shared" si="0"/>
        <v>0</v>
      </c>
      <c r="K8" s="145"/>
      <c r="L8">
        <f t="shared" si="1"/>
        <v>0</v>
      </c>
      <c r="M8" s="23"/>
    </row>
    <row r="9" spans="1:13" x14ac:dyDescent="0.25">
      <c r="A9" s="44" t="s">
        <v>237</v>
      </c>
      <c r="B9" s="44">
        <v>3</v>
      </c>
      <c r="C9" s="45">
        <f>-9280.22-11865</f>
        <v>-21145.22</v>
      </c>
      <c r="D9" s="46">
        <v>10360</v>
      </c>
      <c r="E9" s="46">
        <v>7500</v>
      </c>
      <c r="F9" s="46">
        <f>E9/9</f>
        <v>833.33333333333337</v>
      </c>
      <c r="G9" s="46"/>
      <c r="H9" s="57">
        <f>D9*$M$7</f>
        <v>310.8</v>
      </c>
      <c r="I9" s="57">
        <v>10100</v>
      </c>
      <c r="J9" s="58">
        <f>I9/12</f>
        <v>841.66666666666663</v>
      </c>
      <c r="K9" s="145"/>
      <c r="L9">
        <f t="shared" si="1"/>
        <v>10075</v>
      </c>
    </row>
    <row r="10" spans="1:13" x14ac:dyDescent="0.25">
      <c r="A10" s="44" t="s">
        <v>209</v>
      </c>
      <c r="B10" s="44">
        <v>3</v>
      </c>
      <c r="C10" s="45">
        <f>-117798.93+25498</f>
        <v>-92300.93</v>
      </c>
      <c r="D10" s="46">
        <v>42160</v>
      </c>
      <c r="E10" s="46">
        <v>17399</v>
      </c>
      <c r="F10" s="46">
        <f t="shared" si="2"/>
        <v>1933.2222222222222</v>
      </c>
      <c r="G10" s="46"/>
      <c r="H10" s="57">
        <v>0</v>
      </c>
      <c r="I10" s="57">
        <v>23230</v>
      </c>
      <c r="J10" s="58">
        <f t="shared" ref="J10:J17" si="3">I10/12</f>
        <v>1935.8333333333333</v>
      </c>
      <c r="K10" s="145"/>
      <c r="L10">
        <f t="shared" si="1"/>
        <v>23372.656666666666</v>
      </c>
    </row>
    <row r="11" spans="1:13" x14ac:dyDescent="0.25">
      <c r="A11" s="44" t="s">
        <v>34</v>
      </c>
      <c r="B11" s="44">
        <v>3</v>
      </c>
      <c r="C11" s="45">
        <f>37545.28-6545</f>
        <v>31000.28</v>
      </c>
      <c r="D11" s="46">
        <v>-17830</v>
      </c>
      <c r="E11" s="46">
        <v>-6987</v>
      </c>
      <c r="F11" s="46">
        <f t="shared" si="2"/>
        <v>-776.33333333333337</v>
      </c>
      <c r="G11" s="46"/>
      <c r="H11" s="57">
        <v>0</v>
      </c>
      <c r="I11" s="57">
        <v>-19330</v>
      </c>
      <c r="J11" s="58">
        <f t="shared" si="3"/>
        <v>-1610.8333333333333</v>
      </c>
      <c r="K11" s="101" t="s">
        <v>568</v>
      </c>
      <c r="L11">
        <f>I6*2%</f>
        <v>19326.400000000001</v>
      </c>
    </row>
    <row r="12" spans="1:13" x14ac:dyDescent="0.25">
      <c r="A12" s="44" t="s">
        <v>35</v>
      </c>
      <c r="B12" s="44">
        <v>3</v>
      </c>
      <c r="C12" s="45">
        <f>-591.99+9</f>
        <v>-582.99</v>
      </c>
      <c r="D12" s="46">
        <v>200</v>
      </c>
      <c r="E12" s="46">
        <v>102</v>
      </c>
      <c r="F12" s="46">
        <f t="shared" si="2"/>
        <v>11.333333333333334</v>
      </c>
      <c r="G12" s="46"/>
      <c r="H12" s="57">
        <v>0</v>
      </c>
      <c r="I12" s="57">
        <v>140</v>
      </c>
      <c r="J12" s="58">
        <f t="shared" si="3"/>
        <v>11.666666666666666</v>
      </c>
      <c r="K12" s="145"/>
      <c r="L12">
        <f t="shared" si="1"/>
        <v>137.02000000000001</v>
      </c>
    </row>
    <row r="13" spans="1:13" x14ac:dyDescent="0.25">
      <c r="A13" s="44" t="s">
        <v>36</v>
      </c>
      <c r="B13" s="44">
        <v>3</v>
      </c>
      <c r="C13" s="45">
        <f>-29899.43+5813</f>
        <v>-24086.43</v>
      </c>
      <c r="D13" s="46">
        <v>12840</v>
      </c>
      <c r="E13" s="46">
        <v>11671</v>
      </c>
      <c r="F13" s="46">
        <f t="shared" si="2"/>
        <v>1296.7777777777778</v>
      </c>
      <c r="G13" s="46"/>
      <c r="H13" s="57">
        <v>0</v>
      </c>
      <c r="I13" s="57">
        <v>15680</v>
      </c>
      <c r="J13" s="58">
        <f t="shared" si="3"/>
        <v>1306.6666666666667</v>
      </c>
      <c r="K13" s="145"/>
      <c r="L13">
        <f t="shared" si="1"/>
        <v>15678.043333333333</v>
      </c>
    </row>
    <row r="14" spans="1:13" x14ac:dyDescent="0.25">
      <c r="A14" s="44" t="s">
        <v>37</v>
      </c>
      <c r="B14" s="44">
        <v>3</v>
      </c>
      <c r="C14" s="45">
        <f>-26955.66+16674</f>
        <v>-10281.66</v>
      </c>
      <c r="D14" s="46">
        <v>7110</v>
      </c>
      <c r="E14" s="46">
        <v>4457</v>
      </c>
      <c r="F14" s="46">
        <f>E14/9</f>
        <v>495.22222222222223</v>
      </c>
      <c r="G14" s="46"/>
      <c r="H14" s="57">
        <v>0</v>
      </c>
      <c r="I14" s="57">
        <v>5980</v>
      </c>
      <c r="J14" s="58">
        <f t="shared" si="3"/>
        <v>498.33333333333331</v>
      </c>
      <c r="K14" s="145"/>
      <c r="L14">
        <f t="shared" si="1"/>
        <v>5987.2366666666667</v>
      </c>
    </row>
    <row r="15" spans="1:13" x14ac:dyDescent="0.25">
      <c r="A15" s="44" t="s">
        <v>430</v>
      </c>
      <c r="B15" s="44"/>
      <c r="C15" s="45"/>
      <c r="D15" s="46">
        <v>250</v>
      </c>
      <c r="E15" s="46">
        <v>230</v>
      </c>
      <c r="F15" s="46">
        <f>E15/9</f>
        <v>25.555555555555557</v>
      </c>
      <c r="G15" s="46"/>
      <c r="H15" s="57">
        <v>0</v>
      </c>
      <c r="I15" s="57">
        <v>310</v>
      </c>
      <c r="J15" s="58">
        <f>I15/12</f>
        <v>25.833333333333332</v>
      </c>
      <c r="K15" s="145"/>
      <c r="L15">
        <f t="shared" si="1"/>
        <v>308.9666666666667</v>
      </c>
      <c r="M15" s="23"/>
    </row>
    <row r="16" spans="1:13" x14ac:dyDescent="0.25">
      <c r="A16" s="44" t="s">
        <v>295</v>
      </c>
      <c r="B16" s="44"/>
      <c r="C16" s="45"/>
      <c r="D16" s="46">
        <v>100</v>
      </c>
      <c r="E16" s="46">
        <v>875</v>
      </c>
      <c r="F16" s="46">
        <f>E16/9</f>
        <v>97.222222222222229</v>
      </c>
      <c r="G16" s="46"/>
      <c r="H16" s="57"/>
      <c r="I16" s="57">
        <v>1180</v>
      </c>
      <c r="J16" s="58">
        <f>I16/12</f>
        <v>98.333333333333329</v>
      </c>
      <c r="K16" s="145"/>
      <c r="L16">
        <f t="shared" si="1"/>
        <v>1175.4166666666667</v>
      </c>
      <c r="M16" s="23"/>
    </row>
    <row r="17" spans="1:12" x14ac:dyDescent="0.25">
      <c r="A17" s="44" t="s">
        <v>212</v>
      </c>
      <c r="B17" s="44">
        <v>3</v>
      </c>
      <c r="C17" s="52">
        <f>-76645.1+60013</f>
        <v>-16632.100000000006</v>
      </c>
      <c r="D17" s="53">
        <v>11580</v>
      </c>
      <c r="E17" s="53">
        <v>8051</v>
      </c>
      <c r="F17" s="53">
        <f>E17/9</f>
        <v>894.55555555555554</v>
      </c>
      <c r="G17" s="53"/>
      <c r="H17" s="137">
        <v>0</v>
      </c>
      <c r="I17" s="137">
        <v>10810</v>
      </c>
      <c r="J17" s="139">
        <f t="shared" si="3"/>
        <v>900.83333333333337</v>
      </c>
      <c r="K17" s="144"/>
      <c r="L17">
        <f t="shared" si="1"/>
        <v>10815.176666666666</v>
      </c>
    </row>
    <row r="18" spans="1:12" x14ac:dyDescent="0.25">
      <c r="A18" s="44" t="s">
        <v>75</v>
      </c>
      <c r="B18" s="44"/>
      <c r="C18" s="45">
        <f>SUM(C6:C17)</f>
        <v>-2550365.5900000012</v>
      </c>
      <c r="D18" s="46">
        <f>SUM(D6:D17)</f>
        <v>958420</v>
      </c>
      <c r="E18" s="46">
        <f>SUM(E6:E17)</f>
        <v>762645</v>
      </c>
      <c r="F18" s="46">
        <f>SUM(F6:F17)</f>
        <v>84738.333333333328</v>
      </c>
      <c r="G18" s="46"/>
      <c r="H18" s="57">
        <f>SUM(H6:H17)</f>
        <v>310.8</v>
      </c>
      <c r="I18" s="57">
        <f>SUM(I6:I17)</f>
        <v>1014420</v>
      </c>
      <c r="J18" s="58">
        <f>SUM(J6:J17)</f>
        <v>84535</v>
      </c>
      <c r="K18" s="144"/>
    </row>
    <row r="19" spans="1:12" x14ac:dyDescent="0.25">
      <c r="A19" s="44"/>
      <c r="B19" s="44"/>
      <c r="C19" s="45"/>
      <c r="D19" s="46"/>
      <c r="E19" s="46"/>
      <c r="F19" s="46"/>
      <c r="G19" s="46"/>
      <c r="H19" s="50"/>
      <c r="I19" s="50"/>
      <c r="J19" s="51"/>
      <c r="K19" s="144"/>
    </row>
    <row r="20" spans="1:12" x14ac:dyDescent="0.25">
      <c r="A20" s="44" t="s">
        <v>76</v>
      </c>
      <c r="B20" s="44"/>
      <c r="C20" s="45">
        <f>C47</f>
        <v>338217.98</v>
      </c>
      <c r="D20" s="46">
        <f>-D47</f>
        <v>-134630</v>
      </c>
      <c r="E20" s="46">
        <f>-E47</f>
        <v>-98394</v>
      </c>
      <c r="F20" s="46">
        <f>E20/9</f>
        <v>-10932.666666666666</v>
      </c>
      <c r="G20" s="46"/>
      <c r="H20" s="57">
        <f>H47</f>
        <v>4869.5999999999985</v>
      </c>
      <c r="I20" s="57">
        <f>-I47</f>
        <v>-144680</v>
      </c>
      <c r="J20" s="58">
        <f>-J47</f>
        <v>-12056.666666666664</v>
      </c>
      <c r="K20" s="148"/>
      <c r="L20" s="24"/>
    </row>
    <row r="21" spans="1:12" x14ac:dyDescent="0.25">
      <c r="A21" s="44" t="s">
        <v>83</v>
      </c>
      <c r="B21" s="44"/>
      <c r="C21" s="45">
        <f>C54</f>
        <v>287512.64</v>
      </c>
      <c r="D21" s="46">
        <f>-D54</f>
        <v>-89130</v>
      </c>
      <c r="E21" s="46">
        <f>-E54</f>
        <v>-63924</v>
      </c>
      <c r="F21" s="46">
        <f t="shared" ref="F21:F25" si="4">E21/9</f>
        <v>-7102.666666666667</v>
      </c>
      <c r="G21" s="46"/>
      <c r="H21" s="57">
        <f>H54</f>
        <v>0</v>
      </c>
      <c r="I21" s="57">
        <f>-I54</f>
        <v>-86440</v>
      </c>
      <c r="J21" s="58">
        <f>-J54</f>
        <v>-7203.3333333333321</v>
      </c>
      <c r="K21" s="148"/>
    </row>
    <row r="22" spans="1:12" x14ac:dyDescent="0.25">
      <c r="A22" s="44" t="s">
        <v>88</v>
      </c>
      <c r="B22" s="44"/>
      <c r="C22" s="45">
        <f>C72</f>
        <v>705904.23</v>
      </c>
      <c r="D22" s="46">
        <f>-D72</f>
        <v>-215290</v>
      </c>
      <c r="E22" s="46">
        <f>-E72</f>
        <v>-221064</v>
      </c>
      <c r="F22" s="46">
        <f t="shared" si="4"/>
        <v>-24562.666666666668</v>
      </c>
      <c r="G22" s="46"/>
      <c r="H22" s="57">
        <f>H72</f>
        <v>6458.7</v>
      </c>
      <c r="I22" s="57">
        <f>-I72</f>
        <v>-253120</v>
      </c>
      <c r="J22" s="58">
        <f>-J72</f>
        <v>-21093.333333333332</v>
      </c>
      <c r="K22" s="148"/>
    </row>
    <row r="23" spans="1:12" x14ac:dyDescent="0.25">
      <c r="A23" s="44" t="s">
        <v>77</v>
      </c>
      <c r="B23" s="44"/>
      <c r="C23" s="45">
        <f>C82</f>
        <v>540475.42999999993</v>
      </c>
      <c r="D23" s="46">
        <f>-D82</f>
        <v>-210410</v>
      </c>
      <c r="E23" s="46">
        <f>-E82</f>
        <v>-162581</v>
      </c>
      <c r="F23" s="46">
        <f t="shared" si="4"/>
        <v>-18064.555555555555</v>
      </c>
      <c r="G23" s="46"/>
      <c r="H23" s="57">
        <f>H82</f>
        <v>6312.3</v>
      </c>
      <c r="I23" s="57">
        <f>-I82</f>
        <v>-217820</v>
      </c>
      <c r="J23" s="58">
        <f>-J82</f>
        <v>-18151.666666666668</v>
      </c>
      <c r="K23" s="148"/>
    </row>
    <row r="24" spans="1:12" x14ac:dyDescent="0.25">
      <c r="A24" s="44" t="s">
        <v>296</v>
      </c>
      <c r="B24" s="44"/>
      <c r="C24" s="45">
        <f>C87</f>
        <v>765378.33</v>
      </c>
      <c r="D24" s="46">
        <f>-D87</f>
        <v>-262820</v>
      </c>
      <c r="E24" s="46">
        <f>-E87</f>
        <v>-219017</v>
      </c>
      <c r="F24" s="46">
        <f t="shared" si="4"/>
        <v>-24335.222222222223</v>
      </c>
      <c r="G24" s="46"/>
      <c r="H24" s="57">
        <f>H87</f>
        <v>0</v>
      </c>
      <c r="I24" s="57">
        <f>-I87</f>
        <v>-175220</v>
      </c>
      <c r="J24" s="58">
        <f>-J87</f>
        <v>-14601.666666666668</v>
      </c>
      <c r="K24" s="144"/>
    </row>
    <row r="25" spans="1:12" x14ac:dyDescent="0.25">
      <c r="A25" s="44" t="s">
        <v>78</v>
      </c>
      <c r="B25" s="44"/>
      <c r="C25" s="45">
        <f>C91</f>
        <v>105000</v>
      </c>
      <c r="D25" s="46">
        <f>-D91</f>
        <v>-36000</v>
      </c>
      <c r="E25" s="46">
        <f>-E91</f>
        <v>-27000</v>
      </c>
      <c r="F25" s="46">
        <f t="shared" si="4"/>
        <v>-3000</v>
      </c>
      <c r="G25" s="46"/>
      <c r="H25" s="57">
        <f>H91</f>
        <v>0</v>
      </c>
      <c r="I25" s="57">
        <f>-I91</f>
        <v>-36000</v>
      </c>
      <c r="J25" s="58">
        <f>-J91</f>
        <v>-3000</v>
      </c>
      <c r="K25" s="148"/>
    </row>
    <row r="26" spans="1:12" x14ac:dyDescent="0.25">
      <c r="A26" s="44" t="s">
        <v>79</v>
      </c>
      <c r="B26" s="63"/>
      <c r="C26" s="52">
        <f>C101</f>
        <v>128709.03</v>
      </c>
      <c r="D26" s="53">
        <f>-D101</f>
        <v>-105000</v>
      </c>
      <c r="E26" s="53">
        <f>-E101</f>
        <v>-15000</v>
      </c>
      <c r="F26" s="53">
        <f>E26/9</f>
        <v>-1666.6666666666667</v>
      </c>
      <c r="G26" s="53"/>
      <c r="H26" s="137">
        <f>H101</f>
        <v>450</v>
      </c>
      <c r="I26" s="137">
        <f>-I101</f>
        <v>-155000</v>
      </c>
      <c r="J26" s="139">
        <f>-J101</f>
        <v>-12916.666666666666</v>
      </c>
      <c r="K26" s="148"/>
    </row>
    <row r="27" spans="1:12" x14ac:dyDescent="0.25">
      <c r="A27" s="44" t="s">
        <v>80</v>
      </c>
      <c r="B27" s="44"/>
      <c r="C27" s="45">
        <f t="shared" ref="C27:J27" si="5">SUM(C20:C26)</f>
        <v>2871197.6399999997</v>
      </c>
      <c r="D27" s="46">
        <f t="shared" si="5"/>
        <v>-1053280</v>
      </c>
      <c r="E27" s="46">
        <f t="shared" si="5"/>
        <v>-806980</v>
      </c>
      <c r="F27" s="46">
        <f>SUM(F20:F26)</f>
        <v>-89664.444444444453</v>
      </c>
      <c r="G27" s="46"/>
      <c r="H27" s="67">
        <f t="shared" si="5"/>
        <v>18090.599999999999</v>
      </c>
      <c r="I27" s="60">
        <f t="shared" si="5"/>
        <v>-1068280</v>
      </c>
      <c r="J27" s="58">
        <f t="shared" si="5"/>
        <v>-89023.333333333343</v>
      </c>
      <c r="K27" s="148"/>
    </row>
    <row r="28" spans="1:12" x14ac:dyDescent="0.25">
      <c r="A28" s="44"/>
      <c r="B28" s="44"/>
      <c r="C28" s="45"/>
      <c r="D28" s="45"/>
      <c r="E28" s="45"/>
      <c r="F28" s="45"/>
      <c r="G28" s="45"/>
      <c r="H28" s="90"/>
      <c r="I28" s="114"/>
      <c r="J28" s="116"/>
      <c r="K28" s="148"/>
    </row>
    <row r="29" spans="1:12" ht="15.75" thickBot="1" x14ac:dyDescent="0.3">
      <c r="A29" s="121" t="s">
        <v>550</v>
      </c>
      <c r="B29" s="122"/>
      <c r="C29" s="123">
        <f>SUM(-C18-C27)</f>
        <v>-320832.04999999842</v>
      </c>
      <c r="D29" s="72">
        <f>SUM(D18+D27)+D81</f>
        <v>42990</v>
      </c>
      <c r="E29" s="72">
        <f t="shared" ref="E29:F29" si="6">SUM(E18+E27)+E81</f>
        <v>57263</v>
      </c>
      <c r="F29" s="72">
        <f t="shared" si="6"/>
        <v>6362.555555555542</v>
      </c>
      <c r="G29" s="72"/>
      <c r="H29" s="73">
        <f>SUM(-H18-H27)</f>
        <v>-18401.399999999998</v>
      </c>
      <c r="I29" s="73">
        <f>SUM(I18+I27)+I81</f>
        <v>81610</v>
      </c>
      <c r="J29" s="74">
        <f>SUM(J18+J27)+J81</f>
        <v>6800.833333333323</v>
      </c>
      <c r="K29" s="149"/>
    </row>
    <row r="30" spans="1:12" x14ac:dyDescent="0.25">
      <c r="A30" s="75" t="s">
        <v>449</v>
      </c>
      <c r="B30" s="44"/>
      <c r="C30" s="59"/>
      <c r="D30" s="59"/>
      <c r="E30" s="59"/>
      <c r="F30" s="59"/>
      <c r="G30" s="59"/>
      <c r="H30" s="86"/>
      <c r="I30" s="80"/>
      <c r="J30" s="89"/>
      <c r="K30" s="149"/>
    </row>
    <row r="31" spans="1:12" x14ac:dyDescent="0.25">
      <c r="A31" s="44" t="s">
        <v>38</v>
      </c>
      <c r="B31" s="44">
        <v>3</v>
      </c>
      <c r="C31" s="45">
        <f>12283.02-5351</f>
        <v>6932.02</v>
      </c>
      <c r="D31" s="45">
        <v>1500</v>
      </c>
      <c r="E31" s="45">
        <v>0</v>
      </c>
      <c r="F31" s="45">
        <f>E31/9</f>
        <v>0</v>
      </c>
      <c r="G31" s="45"/>
      <c r="H31" s="115">
        <f>E31*$M$7</f>
        <v>0</v>
      </c>
      <c r="I31" s="115">
        <v>2380</v>
      </c>
      <c r="J31" s="116">
        <f t="shared" ref="J31" si="7">I31/12</f>
        <v>198.33333333333334</v>
      </c>
      <c r="K31" s="145"/>
      <c r="L31">
        <f t="shared" ref="L31:L46" si="8">SUM(E31)+(F31*3)*1.03</f>
        <v>0</v>
      </c>
    </row>
    <row r="32" spans="1:12" x14ac:dyDescent="0.25">
      <c r="A32" s="44" t="s">
        <v>39</v>
      </c>
      <c r="B32" s="44">
        <v>3</v>
      </c>
      <c r="C32" s="45">
        <f>21909.33+42343</f>
        <v>64252.33</v>
      </c>
      <c r="D32" s="45">
        <v>23880</v>
      </c>
      <c r="E32" s="45">
        <v>17469</v>
      </c>
      <c r="F32" s="45">
        <f t="shared" ref="F32:F45" si="9">E32/9</f>
        <v>1941</v>
      </c>
      <c r="G32" s="45"/>
      <c r="H32" s="115">
        <f>D32*$M$7</f>
        <v>716.4</v>
      </c>
      <c r="I32" s="115">
        <v>22060</v>
      </c>
      <c r="J32" s="116">
        <f t="shared" ref="J32:J100" si="10">I32/12</f>
        <v>1838.3333333333333</v>
      </c>
      <c r="K32" s="145"/>
      <c r="L32">
        <f t="shared" si="8"/>
        <v>23466.690000000002</v>
      </c>
    </row>
    <row r="33" spans="1:15" x14ac:dyDescent="0.25">
      <c r="A33" s="44" t="s">
        <v>40</v>
      </c>
      <c r="B33" s="44">
        <v>3</v>
      </c>
      <c r="C33" s="45">
        <f>3386.02-357</f>
        <v>3029.02</v>
      </c>
      <c r="D33" s="45">
        <v>860</v>
      </c>
      <c r="E33" s="45">
        <v>0</v>
      </c>
      <c r="F33" s="45">
        <f t="shared" si="9"/>
        <v>0</v>
      </c>
      <c r="G33" s="45"/>
      <c r="H33" s="115">
        <f>D33*$M$7</f>
        <v>25.8</v>
      </c>
      <c r="I33" s="115">
        <v>1040</v>
      </c>
      <c r="J33" s="116">
        <f t="shared" si="10"/>
        <v>86.666666666666671</v>
      </c>
      <c r="K33" s="145"/>
      <c r="L33">
        <f t="shared" si="8"/>
        <v>0</v>
      </c>
    </row>
    <row r="34" spans="1:15" x14ac:dyDescent="0.25">
      <c r="A34" s="44" t="s">
        <v>41</v>
      </c>
      <c r="B34" s="44">
        <v>3</v>
      </c>
      <c r="C34" s="45">
        <f>892.02+11</f>
        <v>903.02</v>
      </c>
      <c r="D34" s="45">
        <v>290</v>
      </c>
      <c r="E34" s="45">
        <v>155</v>
      </c>
      <c r="F34" s="45">
        <f t="shared" si="9"/>
        <v>17.222222222222221</v>
      </c>
      <c r="G34" s="45"/>
      <c r="H34" s="115">
        <f>D34*$M$7</f>
        <v>8.6999999999999993</v>
      </c>
      <c r="I34" s="115">
        <v>310</v>
      </c>
      <c r="J34" s="116">
        <f t="shared" si="10"/>
        <v>25.833333333333332</v>
      </c>
      <c r="K34" s="145"/>
      <c r="L34">
        <f t="shared" si="8"/>
        <v>208.21666666666667</v>
      </c>
    </row>
    <row r="35" spans="1:15" x14ac:dyDescent="0.25">
      <c r="A35" s="44" t="s">
        <v>429</v>
      </c>
      <c r="B35" s="44">
        <v>3</v>
      </c>
      <c r="C35" s="45">
        <f>1140.06+1977</f>
        <v>3117.06</v>
      </c>
      <c r="D35" s="45">
        <v>960</v>
      </c>
      <c r="E35" s="45">
        <v>712</v>
      </c>
      <c r="F35" s="45">
        <f t="shared" si="9"/>
        <v>79.111111111111114</v>
      </c>
      <c r="G35" s="45"/>
      <c r="H35" s="115">
        <f>D35*$M$7</f>
        <v>28.799999999999997</v>
      </c>
      <c r="I35" s="115">
        <v>1070</v>
      </c>
      <c r="J35" s="116">
        <f t="shared" si="10"/>
        <v>89.166666666666671</v>
      </c>
      <c r="K35" s="145"/>
      <c r="L35">
        <f t="shared" si="8"/>
        <v>956.45333333333338</v>
      </c>
    </row>
    <row r="36" spans="1:15" x14ac:dyDescent="0.25">
      <c r="A36" s="44" t="s">
        <v>327</v>
      </c>
      <c r="B36" s="44">
        <v>3</v>
      </c>
      <c r="C36" s="45">
        <f>20+127</f>
        <v>147</v>
      </c>
      <c r="D36" s="45">
        <v>0</v>
      </c>
      <c r="E36" s="45">
        <v>911</v>
      </c>
      <c r="F36" s="45">
        <f t="shared" si="9"/>
        <v>101.22222222222223</v>
      </c>
      <c r="G36" s="45"/>
      <c r="H36" s="115">
        <f t="shared" ref="H36" si="11">D36*$N$8</f>
        <v>0</v>
      </c>
      <c r="I36" s="115">
        <v>1220</v>
      </c>
      <c r="J36" s="116">
        <f t="shared" si="10"/>
        <v>101.66666666666667</v>
      </c>
      <c r="K36" s="104"/>
      <c r="L36">
        <f t="shared" si="8"/>
        <v>1223.7766666666666</v>
      </c>
      <c r="M36" s="104"/>
      <c r="N36" s="104"/>
      <c r="O36" s="104"/>
    </row>
    <row r="37" spans="1:15" x14ac:dyDescent="0.25">
      <c r="A37" s="44" t="s">
        <v>214</v>
      </c>
      <c r="B37" s="44">
        <v>3</v>
      </c>
      <c r="C37" s="45">
        <f>127847.69-4733</f>
        <v>123114.69</v>
      </c>
      <c r="D37" s="45">
        <v>47910</v>
      </c>
      <c r="E37" s="45">
        <v>38127</v>
      </c>
      <c r="F37" s="45">
        <f t="shared" si="9"/>
        <v>4236.333333333333</v>
      </c>
      <c r="G37" s="45"/>
      <c r="H37" s="115">
        <f>D37*$M$5</f>
        <v>2395.5</v>
      </c>
      <c r="I37" s="115">
        <v>50720</v>
      </c>
      <c r="J37" s="116">
        <f t="shared" si="10"/>
        <v>4226.666666666667</v>
      </c>
      <c r="K37" s="101" t="s">
        <v>566</v>
      </c>
      <c r="L37">
        <f>I18*5%</f>
        <v>50721</v>
      </c>
    </row>
    <row r="38" spans="1:15" x14ac:dyDescent="0.25">
      <c r="A38" s="44" t="s">
        <v>215</v>
      </c>
      <c r="B38" s="44">
        <v>3</v>
      </c>
      <c r="C38" s="45">
        <f>69006.74+10741</f>
        <v>79747.740000000005</v>
      </c>
      <c r="D38" s="45">
        <v>39680</v>
      </c>
      <c r="E38" s="45">
        <v>22945</v>
      </c>
      <c r="F38" s="45">
        <f t="shared" si="9"/>
        <v>2549.4444444444443</v>
      </c>
      <c r="G38" s="45"/>
      <c r="H38" s="115">
        <f>D38*$M$7</f>
        <v>1190.3999999999999</v>
      </c>
      <c r="I38" s="115">
        <v>41500</v>
      </c>
      <c r="J38" s="116">
        <f t="shared" si="10"/>
        <v>3458.3333333333335</v>
      </c>
      <c r="K38" s="101" t="s">
        <v>626</v>
      </c>
      <c r="L38">
        <f t="shared" si="8"/>
        <v>30822.783333333333</v>
      </c>
    </row>
    <row r="39" spans="1:15" x14ac:dyDescent="0.25">
      <c r="A39" s="44" t="s">
        <v>216</v>
      </c>
      <c r="B39" s="44">
        <v>3</v>
      </c>
      <c r="C39" s="45">
        <v>5086.9100000000008</v>
      </c>
      <c r="D39" s="45">
        <v>500</v>
      </c>
      <c r="E39" s="45">
        <v>642</v>
      </c>
      <c r="F39" s="45">
        <f t="shared" si="9"/>
        <v>71.333333333333329</v>
      </c>
      <c r="G39" s="45"/>
      <c r="H39" s="115">
        <v>0</v>
      </c>
      <c r="I39" s="115">
        <v>860</v>
      </c>
      <c r="J39" s="116">
        <f t="shared" si="10"/>
        <v>71.666666666666671</v>
      </c>
      <c r="K39" s="145"/>
      <c r="L39">
        <f t="shared" si="8"/>
        <v>862.42000000000007</v>
      </c>
    </row>
    <row r="40" spans="1:15" x14ac:dyDescent="0.25">
      <c r="A40" s="44" t="s">
        <v>43</v>
      </c>
      <c r="B40" s="44">
        <v>3</v>
      </c>
      <c r="C40" s="45">
        <f>2569.68+4333</f>
        <v>6902.68</v>
      </c>
      <c r="D40" s="45">
        <v>2600</v>
      </c>
      <c r="E40" s="45">
        <v>3767</v>
      </c>
      <c r="F40" s="45">
        <f t="shared" si="9"/>
        <v>418.55555555555554</v>
      </c>
      <c r="G40" s="45"/>
      <c r="H40" s="115">
        <f>D40*$M$7</f>
        <v>78</v>
      </c>
      <c r="I40" s="115">
        <v>5060</v>
      </c>
      <c r="J40" s="116">
        <f t="shared" si="10"/>
        <v>421.66666666666669</v>
      </c>
      <c r="K40" s="145"/>
      <c r="L40">
        <f t="shared" si="8"/>
        <v>5060.3366666666661</v>
      </c>
    </row>
    <row r="41" spans="1:15" x14ac:dyDescent="0.25">
      <c r="A41" s="44" t="s">
        <v>44</v>
      </c>
      <c r="B41" s="44">
        <v>3</v>
      </c>
      <c r="C41" s="45">
        <f>21565.06+1677</f>
        <v>23242.06</v>
      </c>
      <c r="D41" s="45">
        <v>5790</v>
      </c>
      <c r="E41" s="45">
        <v>4929</v>
      </c>
      <c r="F41" s="45">
        <f t="shared" si="9"/>
        <v>547.66666666666663</v>
      </c>
      <c r="G41" s="45"/>
      <c r="H41" s="115">
        <f>D41*$M$7</f>
        <v>173.7</v>
      </c>
      <c r="I41" s="115">
        <v>6620</v>
      </c>
      <c r="J41" s="116">
        <f t="shared" si="10"/>
        <v>551.66666666666663</v>
      </c>
      <c r="K41" s="145"/>
      <c r="L41">
        <f t="shared" si="8"/>
        <v>6621.29</v>
      </c>
    </row>
    <row r="42" spans="1:15" x14ac:dyDescent="0.25">
      <c r="A42" s="44" t="s">
        <v>217</v>
      </c>
      <c r="B42" s="44">
        <v>3</v>
      </c>
      <c r="C42" s="45">
        <v>2679.4300000000003</v>
      </c>
      <c r="D42" s="45">
        <v>1000</v>
      </c>
      <c r="E42" s="45">
        <v>279</v>
      </c>
      <c r="F42" s="45">
        <f t="shared" si="9"/>
        <v>31</v>
      </c>
      <c r="G42" s="45"/>
      <c r="H42" s="115">
        <f>D42*$M$7</f>
        <v>30</v>
      </c>
      <c r="I42" s="115">
        <v>380</v>
      </c>
      <c r="J42" s="116">
        <f t="shared" si="10"/>
        <v>31.666666666666668</v>
      </c>
      <c r="K42" s="145"/>
      <c r="L42">
        <f t="shared" si="8"/>
        <v>374.79</v>
      </c>
    </row>
    <row r="43" spans="1:15" x14ac:dyDescent="0.25">
      <c r="A43" s="44" t="s">
        <v>45</v>
      </c>
      <c r="B43" s="44">
        <v>3</v>
      </c>
      <c r="C43" s="45">
        <f>8023.51-1703</f>
        <v>6320.51</v>
      </c>
      <c r="D43" s="45">
        <v>5030</v>
      </c>
      <c r="E43" s="45">
        <v>2426</v>
      </c>
      <c r="F43" s="45">
        <f>E43/9</f>
        <v>269.55555555555554</v>
      </c>
      <c r="G43" s="45"/>
      <c r="H43" s="115">
        <f>D43*$M$7</f>
        <v>150.9</v>
      </c>
      <c r="I43" s="115">
        <v>3260</v>
      </c>
      <c r="J43" s="116">
        <f t="shared" si="10"/>
        <v>271.66666666666669</v>
      </c>
      <c r="K43" s="145"/>
      <c r="L43">
        <f t="shared" si="8"/>
        <v>3258.9266666666667</v>
      </c>
    </row>
    <row r="44" spans="1:15" x14ac:dyDescent="0.25">
      <c r="A44" s="44" t="s">
        <v>218</v>
      </c>
      <c r="B44" s="44">
        <v>3</v>
      </c>
      <c r="C44" s="45">
        <f>15757.13-7777</f>
        <v>7980.1299999999992</v>
      </c>
      <c r="D44" s="45">
        <v>2150</v>
      </c>
      <c r="E44" s="45">
        <v>4773</v>
      </c>
      <c r="F44" s="45">
        <f t="shared" si="9"/>
        <v>530.33333333333337</v>
      </c>
      <c r="G44" s="45"/>
      <c r="H44" s="115">
        <v>0</v>
      </c>
      <c r="I44" s="115">
        <v>6410</v>
      </c>
      <c r="J44" s="116">
        <f t="shared" si="10"/>
        <v>534.16666666666663</v>
      </c>
      <c r="K44" s="145"/>
      <c r="L44">
        <f t="shared" si="8"/>
        <v>6411.73</v>
      </c>
    </row>
    <row r="45" spans="1:15" x14ac:dyDescent="0.25">
      <c r="A45" s="44" t="s">
        <v>219</v>
      </c>
      <c r="B45" s="44">
        <v>3</v>
      </c>
      <c r="C45" s="45">
        <v>685.78</v>
      </c>
      <c r="D45" s="45">
        <v>100</v>
      </c>
      <c r="E45" s="45">
        <v>0</v>
      </c>
      <c r="F45" s="45">
        <f t="shared" si="9"/>
        <v>0</v>
      </c>
      <c r="G45" s="45"/>
      <c r="H45" s="115">
        <v>0</v>
      </c>
      <c r="I45" s="115">
        <v>100</v>
      </c>
      <c r="J45" s="116">
        <f t="shared" si="10"/>
        <v>8.3333333333333339</v>
      </c>
      <c r="K45" s="145"/>
      <c r="L45">
        <f t="shared" si="8"/>
        <v>0</v>
      </c>
    </row>
    <row r="46" spans="1:15" x14ac:dyDescent="0.25">
      <c r="A46" s="44" t="s">
        <v>46</v>
      </c>
      <c r="B46" s="44">
        <v>3</v>
      </c>
      <c r="C46" s="52">
        <f>3892.6+185</f>
        <v>4077.6</v>
      </c>
      <c r="D46" s="52">
        <v>2380</v>
      </c>
      <c r="E46" s="52">
        <v>1259</v>
      </c>
      <c r="F46" s="52">
        <f>E46/9</f>
        <v>139.88888888888889</v>
      </c>
      <c r="G46" s="52"/>
      <c r="H46" s="142">
        <f>D46*$M$7</f>
        <v>71.399999999999991</v>
      </c>
      <c r="I46" s="142">
        <v>1690</v>
      </c>
      <c r="J46" s="120">
        <f t="shared" si="10"/>
        <v>140.83333333333334</v>
      </c>
      <c r="K46" s="145"/>
      <c r="L46">
        <f t="shared" si="8"/>
        <v>1691.2566666666667</v>
      </c>
    </row>
    <row r="47" spans="1:15" x14ac:dyDescent="0.25">
      <c r="A47" s="75" t="s">
        <v>81</v>
      </c>
      <c r="B47" s="44"/>
      <c r="C47" s="45">
        <f>SUM(C31:C46)</f>
        <v>338217.98</v>
      </c>
      <c r="D47" s="45">
        <f t="shared" ref="D47:J47" si="12">SUM(D31:D46)</f>
        <v>134630</v>
      </c>
      <c r="E47" s="45">
        <f t="shared" si="12"/>
        <v>98394</v>
      </c>
      <c r="F47" s="45">
        <f>SUM(F31:F46)</f>
        <v>10932.666666666664</v>
      </c>
      <c r="G47" s="45"/>
      <c r="H47" s="115">
        <f t="shared" si="12"/>
        <v>4869.5999999999985</v>
      </c>
      <c r="I47" s="115">
        <f t="shared" si="12"/>
        <v>144680</v>
      </c>
      <c r="J47" s="116">
        <f t="shared" si="12"/>
        <v>12056.666666666664</v>
      </c>
      <c r="K47" s="145"/>
    </row>
    <row r="48" spans="1:15" x14ac:dyDescent="0.25">
      <c r="A48" s="75"/>
      <c r="B48" s="44"/>
      <c r="C48" s="45"/>
      <c r="D48" s="45"/>
      <c r="E48" s="45"/>
      <c r="F48" s="45"/>
      <c r="G48" s="45"/>
      <c r="H48" s="115"/>
      <c r="I48" s="115"/>
      <c r="J48" s="116"/>
      <c r="K48" s="145"/>
    </row>
    <row r="49" spans="1:13" x14ac:dyDescent="0.25">
      <c r="A49" s="75" t="s">
        <v>450</v>
      </c>
      <c r="B49" s="44"/>
      <c r="C49" s="45"/>
      <c r="D49" s="45"/>
      <c r="E49" s="45"/>
      <c r="F49" s="45"/>
      <c r="G49" s="45"/>
      <c r="H49" s="86"/>
      <c r="I49" s="86"/>
      <c r="J49" s="89"/>
      <c r="K49" s="101"/>
    </row>
    <row r="50" spans="1:13" x14ac:dyDescent="0.25">
      <c r="A50" s="44" t="s">
        <v>220</v>
      </c>
      <c r="B50" s="44">
        <v>3</v>
      </c>
      <c r="C50" s="45">
        <f>36076.67+3541</f>
        <v>39617.67</v>
      </c>
      <c r="D50" s="45">
        <v>14810</v>
      </c>
      <c r="E50" s="45">
        <v>7794</v>
      </c>
      <c r="F50" s="45">
        <f>E50/9</f>
        <v>866</v>
      </c>
      <c r="G50" s="45"/>
      <c r="H50" s="115">
        <f>D50*$M$50</f>
        <v>0</v>
      </c>
      <c r="I50" s="115">
        <v>10470</v>
      </c>
      <c r="J50" s="116">
        <f t="shared" si="10"/>
        <v>872.5</v>
      </c>
      <c r="K50" s="101" t="s">
        <v>501</v>
      </c>
      <c r="L50">
        <f>SUM(E50)+(F50*3)*1.03</f>
        <v>10469.94</v>
      </c>
      <c r="M50" s="31"/>
    </row>
    <row r="51" spans="1:13" x14ac:dyDescent="0.25">
      <c r="A51" s="44" t="s">
        <v>47</v>
      </c>
      <c r="B51" s="44">
        <v>3</v>
      </c>
      <c r="C51" s="45">
        <f>87604.73-1091</f>
        <v>86513.73</v>
      </c>
      <c r="D51" s="45">
        <v>28100</v>
      </c>
      <c r="E51" s="45">
        <v>23616</v>
      </c>
      <c r="F51" s="45">
        <f t="shared" ref="F51:F52" si="13">E51/9</f>
        <v>2624</v>
      </c>
      <c r="G51" s="45"/>
      <c r="H51" s="115">
        <f>D51*$M$51</f>
        <v>0</v>
      </c>
      <c r="I51" s="115">
        <v>32120</v>
      </c>
      <c r="J51" s="116">
        <f t="shared" si="10"/>
        <v>2676.6666666666665</v>
      </c>
      <c r="K51" s="101" t="s">
        <v>610</v>
      </c>
      <c r="L51">
        <f>SUM(E51)+(F51*3)*1.08</f>
        <v>32117.760000000002</v>
      </c>
      <c r="M51" s="31"/>
    </row>
    <row r="52" spans="1:13" x14ac:dyDescent="0.25">
      <c r="A52" s="44" t="s">
        <v>48</v>
      </c>
      <c r="B52" s="44">
        <v>3</v>
      </c>
      <c r="C52" s="45">
        <f>82543.24+12925</f>
        <v>95468.24</v>
      </c>
      <c r="D52" s="45">
        <v>21520</v>
      </c>
      <c r="E52" s="45">
        <v>13434</v>
      </c>
      <c r="F52" s="45">
        <f t="shared" si="13"/>
        <v>1492.6666666666667</v>
      </c>
      <c r="G52" s="45"/>
      <c r="H52" s="115">
        <f>D52*$M$52</f>
        <v>0</v>
      </c>
      <c r="I52" s="115">
        <v>18090</v>
      </c>
      <c r="J52" s="116">
        <f t="shared" si="10"/>
        <v>1507.5</v>
      </c>
      <c r="K52" s="101" t="s">
        <v>533</v>
      </c>
      <c r="L52">
        <f t="shared" ref="L52" si="14">SUM(E52)+(F52*3)*1.04</f>
        <v>18091.12</v>
      </c>
      <c r="M52" s="31"/>
    </row>
    <row r="53" spans="1:13" x14ac:dyDescent="0.25">
      <c r="A53" s="44" t="s">
        <v>49</v>
      </c>
      <c r="B53" s="44">
        <v>3</v>
      </c>
      <c r="C53" s="52">
        <f>48760+17153</f>
        <v>65913</v>
      </c>
      <c r="D53" s="52">
        <v>24700</v>
      </c>
      <c r="E53" s="52">
        <v>19080</v>
      </c>
      <c r="F53" s="52">
        <f>E53/9</f>
        <v>2120</v>
      </c>
      <c r="G53" s="52"/>
      <c r="H53" s="142">
        <f>D53*$M$53</f>
        <v>0</v>
      </c>
      <c r="I53" s="142">
        <v>25760</v>
      </c>
      <c r="J53" s="120">
        <f t="shared" si="10"/>
        <v>2146.6666666666665</v>
      </c>
      <c r="K53" s="101" t="s">
        <v>585</v>
      </c>
      <c r="L53">
        <f>SUM(E53)+(F53*3)*1.05</f>
        <v>25758</v>
      </c>
      <c r="M53" s="31"/>
    </row>
    <row r="54" spans="1:13" x14ac:dyDescent="0.25">
      <c r="A54" s="75" t="s">
        <v>82</v>
      </c>
      <c r="B54" s="44"/>
      <c r="C54" s="45">
        <f>SUM(C50:C53)</f>
        <v>287512.64</v>
      </c>
      <c r="D54" s="45">
        <f>SUM(D50:D53)</f>
        <v>89130</v>
      </c>
      <c r="E54" s="45">
        <f>SUM(E50:E53)</f>
        <v>63924</v>
      </c>
      <c r="F54" s="45">
        <f>SUM(F50:F53)</f>
        <v>7102.666666666667</v>
      </c>
      <c r="G54" s="45"/>
      <c r="H54" s="86">
        <f>SUM(H50:H53)</f>
        <v>0</v>
      </c>
      <c r="I54" s="86">
        <f t="shared" ref="I54:J54" si="15">SUM(I50:I53)</f>
        <v>86440</v>
      </c>
      <c r="J54" s="88">
        <f t="shared" si="15"/>
        <v>7203.3333333333321</v>
      </c>
      <c r="K54" s="144"/>
    </row>
    <row r="55" spans="1:13" x14ac:dyDescent="0.25">
      <c r="A55" s="75"/>
      <c r="B55" s="44"/>
      <c r="C55" s="45"/>
      <c r="D55" s="45"/>
      <c r="E55" s="45"/>
      <c r="F55" s="45"/>
      <c r="G55" s="45"/>
      <c r="H55" s="86"/>
      <c r="I55" s="86"/>
      <c r="J55" s="88"/>
      <c r="K55" s="144"/>
    </row>
    <row r="56" spans="1:13" x14ac:dyDescent="0.25">
      <c r="A56" s="75" t="s">
        <v>451</v>
      </c>
      <c r="B56" s="44"/>
      <c r="C56" s="45"/>
      <c r="D56" s="45"/>
      <c r="E56" s="45"/>
      <c r="F56" s="45"/>
      <c r="G56" s="45"/>
      <c r="H56" s="86"/>
      <c r="I56" s="86"/>
      <c r="J56" s="88"/>
      <c r="K56" s="144"/>
    </row>
    <row r="57" spans="1:13" x14ac:dyDescent="0.25">
      <c r="A57" s="44" t="s">
        <v>50</v>
      </c>
      <c r="B57" s="44">
        <v>3</v>
      </c>
      <c r="C57" s="45">
        <f>760.15-411</f>
        <v>349.15</v>
      </c>
      <c r="D57" s="45">
        <v>120</v>
      </c>
      <c r="E57" s="45">
        <v>77</v>
      </c>
      <c r="F57" s="45">
        <f>E57/9</f>
        <v>8.5555555555555554</v>
      </c>
      <c r="G57" s="45"/>
      <c r="H57" s="115">
        <v>0</v>
      </c>
      <c r="I57" s="115">
        <v>100</v>
      </c>
      <c r="J57" s="116">
        <f t="shared" si="10"/>
        <v>8.3333333333333339</v>
      </c>
      <c r="K57" s="144"/>
      <c r="L57">
        <f>SUM(E57)+(F57*3)*1.03</f>
        <v>103.43666666666667</v>
      </c>
    </row>
    <row r="58" spans="1:13" x14ac:dyDescent="0.25">
      <c r="A58" s="44" t="s">
        <v>51</v>
      </c>
      <c r="B58" s="44">
        <v>3</v>
      </c>
      <c r="C58" s="45">
        <f>77444.85+13633</f>
        <v>91077.85</v>
      </c>
      <c r="D58" s="45">
        <v>30240</v>
      </c>
      <c r="E58" s="45">
        <v>21297</v>
      </c>
      <c r="F58" s="45">
        <f t="shared" ref="F58:F70" si="16">E58/9</f>
        <v>2366.3333333333335</v>
      </c>
      <c r="G58" s="45"/>
      <c r="H58" s="115">
        <f>D58*$M$7</f>
        <v>907.19999999999993</v>
      </c>
      <c r="I58" s="115">
        <v>28610</v>
      </c>
      <c r="J58" s="116">
        <f t="shared" si="10"/>
        <v>2384.1666666666665</v>
      </c>
      <c r="K58" s="144"/>
      <c r="L58">
        <f t="shared" ref="L58:L71" si="17">SUM(E58)+(F58*3)*1.03</f>
        <v>28608.97</v>
      </c>
    </row>
    <row r="59" spans="1:13" x14ac:dyDescent="0.25">
      <c r="A59" s="44" t="s">
        <v>52</v>
      </c>
      <c r="B59" s="44">
        <v>3</v>
      </c>
      <c r="C59" s="45">
        <f>9830.86+567</f>
        <v>10397.86</v>
      </c>
      <c r="D59" s="45">
        <v>5370</v>
      </c>
      <c r="E59" s="45">
        <v>3794</v>
      </c>
      <c r="F59" s="45">
        <f t="shared" si="16"/>
        <v>421.55555555555554</v>
      </c>
      <c r="G59" s="45"/>
      <c r="H59" s="115">
        <f>D59*$M$7</f>
        <v>161.1</v>
      </c>
      <c r="I59" s="115">
        <v>3540</v>
      </c>
      <c r="J59" s="116">
        <f t="shared" si="10"/>
        <v>295</v>
      </c>
      <c r="K59" s="101" t="s">
        <v>608</v>
      </c>
      <c r="L59">
        <f t="shared" si="17"/>
        <v>5096.6066666666666</v>
      </c>
    </row>
    <row r="60" spans="1:13" x14ac:dyDescent="0.25">
      <c r="A60" s="44" t="s">
        <v>53</v>
      </c>
      <c r="B60" s="44">
        <v>3</v>
      </c>
      <c r="C60" s="45">
        <f>27140.65-3315</f>
        <v>23825.65</v>
      </c>
      <c r="D60" s="45">
        <v>10080</v>
      </c>
      <c r="E60" s="45">
        <v>7451</v>
      </c>
      <c r="F60" s="45">
        <f t="shared" si="16"/>
        <v>827.88888888888891</v>
      </c>
      <c r="G60" s="45"/>
      <c r="H60" s="115">
        <f>D60*$M$7</f>
        <v>302.39999999999998</v>
      </c>
      <c r="I60" s="115">
        <v>10030</v>
      </c>
      <c r="J60" s="116">
        <f t="shared" si="10"/>
        <v>835.83333333333337</v>
      </c>
      <c r="K60" s="101" t="s">
        <v>542</v>
      </c>
      <c r="L60">
        <f>SUM(E60)+(F60*3)*1.04</f>
        <v>10034.013333333334</v>
      </c>
    </row>
    <row r="61" spans="1:13" x14ac:dyDescent="0.25">
      <c r="A61" s="44" t="s">
        <v>236</v>
      </c>
      <c r="B61" s="44">
        <v>3</v>
      </c>
      <c r="C61" s="45">
        <f>1536.47+1200</f>
        <v>2736.4700000000003</v>
      </c>
      <c r="D61" s="45">
        <v>650</v>
      </c>
      <c r="E61" s="45">
        <v>0</v>
      </c>
      <c r="F61" s="45">
        <f t="shared" si="16"/>
        <v>0</v>
      </c>
      <c r="G61" s="45"/>
      <c r="H61" s="115">
        <f>D61*$M$7</f>
        <v>19.5</v>
      </c>
      <c r="I61" s="115">
        <v>350</v>
      </c>
      <c r="J61" s="116">
        <f t="shared" si="10"/>
        <v>29.166666666666668</v>
      </c>
      <c r="K61" s="145"/>
      <c r="L61">
        <f t="shared" si="17"/>
        <v>0</v>
      </c>
    </row>
    <row r="62" spans="1:13" x14ac:dyDescent="0.25">
      <c r="A62" s="44" t="s">
        <v>54</v>
      </c>
      <c r="B62" s="44">
        <v>3</v>
      </c>
      <c r="C62" s="45">
        <f>34471.92+14985</f>
        <v>49456.92</v>
      </c>
      <c r="D62" s="45">
        <v>15540</v>
      </c>
      <c r="E62" s="45">
        <v>11902</v>
      </c>
      <c r="F62" s="45">
        <f t="shared" si="16"/>
        <v>1322.4444444444443</v>
      </c>
      <c r="G62" s="45"/>
      <c r="H62" s="115">
        <f>D62*$M$7</f>
        <v>466.2</v>
      </c>
      <c r="I62" s="115">
        <v>15990</v>
      </c>
      <c r="J62" s="116">
        <f t="shared" si="10"/>
        <v>1332.5</v>
      </c>
      <c r="K62" s="145"/>
      <c r="L62">
        <f t="shared" si="17"/>
        <v>15988.353333333333</v>
      </c>
    </row>
    <row r="63" spans="1:13" hidden="1" x14ac:dyDescent="0.25">
      <c r="A63" s="44" t="s">
        <v>436</v>
      </c>
      <c r="B63" s="44"/>
      <c r="C63" s="45"/>
      <c r="D63" s="45">
        <v>0</v>
      </c>
      <c r="E63" s="45">
        <v>0</v>
      </c>
      <c r="F63" s="45">
        <f t="shared" si="16"/>
        <v>0</v>
      </c>
      <c r="G63" s="45"/>
      <c r="H63" s="115">
        <v>0</v>
      </c>
      <c r="I63" s="115">
        <v>0</v>
      </c>
      <c r="J63" s="116">
        <f t="shared" si="10"/>
        <v>0</v>
      </c>
      <c r="K63" s="145"/>
      <c r="L63">
        <f t="shared" si="17"/>
        <v>0</v>
      </c>
    </row>
    <row r="64" spans="1:13" hidden="1" x14ac:dyDescent="0.25">
      <c r="A64" s="44" t="s">
        <v>221</v>
      </c>
      <c r="B64" s="44"/>
      <c r="C64" s="45"/>
      <c r="D64" s="45">
        <v>0</v>
      </c>
      <c r="E64" s="45">
        <v>0</v>
      </c>
      <c r="F64" s="45">
        <f t="shared" si="16"/>
        <v>0</v>
      </c>
      <c r="G64" s="45"/>
      <c r="H64" s="115">
        <v>0</v>
      </c>
      <c r="I64" s="115">
        <v>0</v>
      </c>
      <c r="J64" s="116">
        <f t="shared" si="10"/>
        <v>0</v>
      </c>
      <c r="K64" s="145"/>
      <c r="L64">
        <f t="shared" si="17"/>
        <v>0</v>
      </c>
    </row>
    <row r="65" spans="1:18" x14ac:dyDescent="0.25">
      <c r="A65" s="44" t="s">
        <v>223</v>
      </c>
      <c r="B65" s="44">
        <v>3</v>
      </c>
      <c r="C65" s="45">
        <f>127494.02-5979</f>
        <v>121515.02</v>
      </c>
      <c r="D65" s="45">
        <v>29930</v>
      </c>
      <c r="E65" s="45">
        <v>26714</v>
      </c>
      <c r="F65" s="45">
        <f t="shared" si="16"/>
        <v>2968.2222222222222</v>
      </c>
      <c r="G65" s="45"/>
      <c r="H65" s="115">
        <f>D65*$M$7</f>
        <v>897.9</v>
      </c>
      <c r="I65" s="115">
        <v>35890</v>
      </c>
      <c r="J65" s="116">
        <f t="shared" si="10"/>
        <v>2990.8333333333335</v>
      </c>
      <c r="K65" s="145"/>
      <c r="L65">
        <f t="shared" si="17"/>
        <v>35885.806666666664</v>
      </c>
    </row>
    <row r="66" spans="1:18" x14ac:dyDescent="0.25">
      <c r="A66" s="44" t="s">
        <v>55</v>
      </c>
      <c r="B66" s="44">
        <v>3</v>
      </c>
      <c r="C66" s="45">
        <f>134699.01+54331</f>
        <v>189030.01</v>
      </c>
      <c r="D66" s="45">
        <v>37470</v>
      </c>
      <c r="E66" s="45">
        <v>79636</v>
      </c>
      <c r="F66" s="45">
        <f t="shared" si="16"/>
        <v>8848.4444444444453</v>
      </c>
      <c r="G66" s="45"/>
      <c r="H66" s="115">
        <f>D66*$M$7</f>
        <v>1124.0999999999999</v>
      </c>
      <c r="I66" s="115">
        <v>53240</v>
      </c>
      <c r="J66" s="116">
        <f t="shared" si="10"/>
        <v>4436.666666666667</v>
      </c>
      <c r="K66" s="101" t="s">
        <v>569</v>
      </c>
      <c r="L66">
        <f t="shared" si="17"/>
        <v>106977.69333333333</v>
      </c>
    </row>
    <row r="67" spans="1:18" x14ac:dyDescent="0.25">
      <c r="A67" s="44" t="s">
        <v>496</v>
      </c>
      <c r="B67" s="44"/>
      <c r="C67" s="118"/>
      <c r="D67" s="45">
        <v>2000</v>
      </c>
      <c r="E67" s="46">
        <v>16356</v>
      </c>
      <c r="F67" s="46">
        <f t="shared" si="16"/>
        <v>1817.3333333333333</v>
      </c>
      <c r="G67" s="46"/>
      <c r="H67" s="57">
        <v>0</v>
      </c>
      <c r="I67" s="57">
        <v>21970</v>
      </c>
      <c r="J67" s="58">
        <f t="shared" si="10"/>
        <v>1830.8333333333333</v>
      </c>
      <c r="K67" s="101" t="s">
        <v>627</v>
      </c>
      <c r="L67">
        <f t="shared" si="17"/>
        <v>21971.56</v>
      </c>
      <c r="M67" s="104"/>
      <c r="N67" s="104"/>
      <c r="O67" s="104"/>
      <c r="P67" s="104"/>
      <c r="Q67" s="104"/>
      <c r="R67" s="104"/>
    </row>
    <row r="68" spans="1:18" x14ac:dyDescent="0.25">
      <c r="A68" s="44" t="s">
        <v>497</v>
      </c>
      <c r="B68" s="44"/>
      <c r="C68" s="118"/>
      <c r="D68" s="45">
        <v>2000</v>
      </c>
      <c r="E68" s="46">
        <v>7803</v>
      </c>
      <c r="F68" s="46">
        <f t="shared" si="16"/>
        <v>867</v>
      </c>
      <c r="G68" s="46"/>
      <c r="H68" s="57">
        <v>0</v>
      </c>
      <c r="I68" s="57">
        <v>10480</v>
      </c>
      <c r="J68" s="58">
        <f t="shared" si="10"/>
        <v>873.33333333333337</v>
      </c>
      <c r="K68" s="101"/>
      <c r="L68">
        <f t="shared" si="17"/>
        <v>10482.030000000001</v>
      </c>
      <c r="M68" s="104"/>
      <c r="N68" s="104"/>
      <c r="O68" s="104"/>
      <c r="P68" s="104"/>
      <c r="Q68" s="104"/>
      <c r="R68" s="104"/>
    </row>
    <row r="69" spans="1:18" x14ac:dyDescent="0.25">
      <c r="A69" s="44" t="s">
        <v>551</v>
      </c>
      <c r="B69" s="44"/>
      <c r="C69" s="118"/>
      <c r="D69" s="45">
        <v>12000</v>
      </c>
      <c r="E69" s="46">
        <v>165</v>
      </c>
      <c r="F69" s="46">
        <f t="shared" si="16"/>
        <v>18.333333333333332</v>
      </c>
      <c r="G69" s="46"/>
      <c r="H69" s="57"/>
      <c r="I69" s="57">
        <f>220+8100</f>
        <v>8320</v>
      </c>
      <c r="J69" s="58">
        <f t="shared" ref="J69" si="18">I69/12</f>
        <v>693.33333333333337</v>
      </c>
      <c r="K69" s="101" t="s">
        <v>601</v>
      </c>
      <c r="L69">
        <f t="shared" si="17"/>
        <v>221.65</v>
      </c>
      <c r="M69" s="104"/>
      <c r="N69" s="104"/>
      <c r="O69" s="104"/>
      <c r="P69" s="104"/>
      <c r="Q69" s="104"/>
      <c r="R69" s="104"/>
    </row>
    <row r="70" spans="1:18" x14ac:dyDescent="0.25">
      <c r="A70" s="44" t="s">
        <v>56</v>
      </c>
      <c r="B70" s="44">
        <v>3</v>
      </c>
      <c r="C70" s="45">
        <f>173311.49+17349</f>
        <v>190660.49</v>
      </c>
      <c r="D70" s="45">
        <v>57290</v>
      </c>
      <c r="E70" s="45">
        <v>38884</v>
      </c>
      <c r="F70" s="45">
        <f t="shared" si="16"/>
        <v>4320.4444444444443</v>
      </c>
      <c r="G70" s="45"/>
      <c r="H70" s="115">
        <f>D70*$M$7</f>
        <v>1718.7</v>
      </c>
      <c r="I70" s="115">
        <v>52230</v>
      </c>
      <c r="J70" s="116">
        <f t="shared" si="10"/>
        <v>4352.5</v>
      </c>
      <c r="K70" s="145"/>
      <c r="L70">
        <f t="shared" si="17"/>
        <v>52234.173333333332</v>
      </c>
    </row>
    <row r="71" spans="1:18" x14ac:dyDescent="0.25">
      <c r="A71" s="44" t="s">
        <v>57</v>
      </c>
      <c r="B71" s="44">
        <v>3</v>
      </c>
      <c r="C71" s="52">
        <f>33519.81-6665</f>
        <v>26854.809999999998</v>
      </c>
      <c r="D71" s="52">
        <v>12600</v>
      </c>
      <c r="E71" s="52">
        <v>6985</v>
      </c>
      <c r="F71" s="52">
        <f>E71/9</f>
        <v>776.11111111111109</v>
      </c>
      <c r="G71" s="52"/>
      <c r="H71" s="142">
        <f t="shared" ref="H71" si="19">I71/9*12</f>
        <v>16493.333333333332</v>
      </c>
      <c r="I71" s="142">
        <v>12370</v>
      </c>
      <c r="J71" s="120">
        <f t="shared" si="10"/>
        <v>1030.8333333333333</v>
      </c>
      <c r="K71" s="101" t="s">
        <v>600</v>
      </c>
      <c r="L71">
        <f t="shared" si="17"/>
        <v>9383.1833333333325</v>
      </c>
    </row>
    <row r="72" spans="1:18" x14ac:dyDescent="0.25">
      <c r="A72" s="75" t="s">
        <v>84</v>
      </c>
      <c r="B72" s="44"/>
      <c r="C72" s="45">
        <f>SUM(C57:C71)</f>
        <v>705904.23</v>
      </c>
      <c r="D72" s="45">
        <f>SUM(D57:D71)</f>
        <v>215290</v>
      </c>
      <c r="E72" s="45">
        <f>SUM(E57:E71)</f>
        <v>221064</v>
      </c>
      <c r="F72" s="45">
        <f>SUM(F57:F71)</f>
        <v>24562.666666666664</v>
      </c>
      <c r="G72" s="45"/>
      <c r="H72" s="90">
        <f>D72*$M$7</f>
        <v>6458.7</v>
      </c>
      <c r="I72" s="86">
        <f>SUM(I57:I71)</f>
        <v>253120</v>
      </c>
      <c r="J72" s="88">
        <f t="shared" si="10"/>
        <v>21093.333333333332</v>
      </c>
      <c r="K72" s="145"/>
    </row>
    <row r="73" spans="1:18" x14ac:dyDescent="0.25">
      <c r="A73" s="44"/>
      <c r="B73" s="44"/>
      <c r="C73" s="59"/>
      <c r="D73" s="59"/>
      <c r="E73" s="59"/>
      <c r="F73" s="59"/>
      <c r="G73" s="59"/>
      <c r="H73" s="86"/>
      <c r="I73" s="80"/>
      <c r="J73" s="89"/>
      <c r="K73" s="150"/>
    </row>
    <row r="74" spans="1:18" x14ac:dyDescent="0.25">
      <c r="A74" s="75" t="s">
        <v>452</v>
      </c>
      <c r="B74" s="44"/>
      <c r="C74" s="59"/>
      <c r="D74" s="59"/>
      <c r="E74" s="59"/>
      <c r="F74" s="59"/>
      <c r="G74" s="59"/>
      <c r="H74" s="86"/>
      <c r="I74" s="80"/>
      <c r="J74" s="89"/>
      <c r="K74" s="101"/>
    </row>
    <row r="75" spans="1:18" x14ac:dyDescent="0.25">
      <c r="A75" s="44" t="s">
        <v>42</v>
      </c>
      <c r="B75" s="44">
        <v>3</v>
      </c>
      <c r="C75" s="45">
        <f>18381.82+3755</f>
        <v>22136.82</v>
      </c>
      <c r="D75" s="45">
        <v>9250</v>
      </c>
      <c r="E75" s="45">
        <v>6165</v>
      </c>
      <c r="F75" s="45">
        <f>E75/9</f>
        <v>685</v>
      </c>
      <c r="G75" s="45"/>
      <c r="H75" s="115">
        <v>0</v>
      </c>
      <c r="I75" s="115">
        <v>8040</v>
      </c>
      <c r="J75" s="116">
        <f t="shared" si="10"/>
        <v>670</v>
      </c>
      <c r="K75" s="101" t="s">
        <v>425</v>
      </c>
      <c r="L75">
        <f>SUM($I$32+$I$38+$I$70)*7.65%</f>
        <v>8857.9349999999995</v>
      </c>
      <c r="M75" s="33">
        <v>7.6499999999999999E-2</v>
      </c>
    </row>
    <row r="76" spans="1:18" x14ac:dyDescent="0.25">
      <c r="A76" s="44" t="s">
        <v>224</v>
      </c>
      <c r="B76" s="44">
        <v>3</v>
      </c>
      <c r="C76" s="45">
        <f>40939.91+16031</f>
        <v>56970.91</v>
      </c>
      <c r="D76" s="45">
        <v>17320</v>
      </c>
      <c r="E76" s="45">
        <v>23992</v>
      </c>
      <c r="F76" s="45">
        <f t="shared" ref="F76:F80" si="20">E76/9</f>
        <v>2665.7777777777778</v>
      </c>
      <c r="G76" s="45"/>
      <c r="H76" s="115">
        <f>D76*$M$76</f>
        <v>866</v>
      </c>
      <c r="I76" s="115">
        <v>32390</v>
      </c>
      <c r="J76" s="116">
        <f t="shared" si="10"/>
        <v>2699.1666666666665</v>
      </c>
      <c r="K76" s="101" t="s">
        <v>422</v>
      </c>
      <c r="L76">
        <f>SUM(E76)+(F76*3)*1.05</f>
        <v>32389.200000000001</v>
      </c>
      <c r="M76" s="31">
        <v>0.05</v>
      </c>
    </row>
    <row r="77" spans="1:18" x14ac:dyDescent="0.25">
      <c r="A77" s="44" t="s">
        <v>59</v>
      </c>
      <c r="B77" s="44">
        <v>3</v>
      </c>
      <c r="C77" s="45">
        <f>63190.46+1332</f>
        <v>64522.46</v>
      </c>
      <c r="D77" s="45">
        <v>36260</v>
      </c>
      <c r="E77" s="45">
        <v>19376</v>
      </c>
      <c r="F77" s="45">
        <f t="shared" si="20"/>
        <v>2152.8888888888887</v>
      </c>
      <c r="G77" s="45"/>
      <c r="H77" s="115">
        <v>0</v>
      </c>
      <c r="I77" s="115">
        <v>31530</v>
      </c>
      <c r="J77" s="116">
        <f t="shared" si="10"/>
        <v>2627.5</v>
      </c>
      <c r="K77" s="101" t="s">
        <v>502</v>
      </c>
      <c r="L77">
        <f>SUM($I$32+$I$38+$I$70)*30%</f>
        <v>34737</v>
      </c>
      <c r="M77" s="31">
        <v>0.3</v>
      </c>
    </row>
    <row r="78" spans="1:18" x14ac:dyDescent="0.25">
      <c r="A78" s="44" t="s">
        <v>225</v>
      </c>
      <c r="B78" s="44">
        <v>3</v>
      </c>
      <c r="C78" s="45">
        <f>2729.88+9</f>
        <v>2738.88</v>
      </c>
      <c r="D78" s="45">
        <v>3370</v>
      </c>
      <c r="E78" s="45">
        <v>4171</v>
      </c>
      <c r="F78" s="45">
        <f t="shared" si="20"/>
        <v>463.44444444444446</v>
      </c>
      <c r="G78" s="45"/>
      <c r="H78" s="115">
        <v>0</v>
      </c>
      <c r="I78" s="115">
        <v>3150</v>
      </c>
      <c r="J78" s="116">
        <f t="shared" si="10"/>
        <v>262.5</v>
      </c>
      <c r="K78" s="101" t="s">
        <v>543</v>
      </c>
      <c r="L78">
        <f>SUM($I$32+$I$38+$I$70)*3%</f>
        <v>3473.7</v>
      </c>
    </row>
    <row r="79" spans="1:18" x14ac:dyDescent="0.25">
      <c r="A79" s="44" t="s">
        <v>61</v>
      </c>
      <c r="B79" s="44">
        <v>3</v>
      </c>
      <c r="C79" s="45">
        <f>94583.37-70000</f>
        <v>24583.369999999995</v>
      </c>
      <c r="D79" s="45">
        <v>6360</v>
      </c>
      <c r="E79" s="45">
        <v>4275</v>
      </c>
      <c r="F79" s="45">
        <f t="shared" si="20"/>
        <v>475</v>
      </c>
      <c r="G79" s="45"/>
      <c r="H79" s="115">
        <f>D79*$M$7</f>
        <v>190.79999999999998</v>
      </c>
      <c r="I79" s="115">
        <v>5740</v>
      </c>
      <c r="J79" s="116">
        <f t="shared" si="10"/>
        <v>478.33333333333331</v>
      </c>
      <c r="K79" s="101"/>
      <c r="L79">
        <f t="shared" ref="L79:L80" si="21">SUM(E79)+(F79*3)*1.03</f>
        <v>5742.75</v>
      </c>
    </row>
    <row r="80" spans="1:18" x14ac:dyDescent="0.25">
      <c r="A80" s="44" t="s">
        <v>70</v>
      </c>
      <c r="B80" s="44"/>
      <c r="C80" s="45"/>
      <c r="D80" s="45">
        <v>0</v>
      </c>
      <c r="E80" s="45">
        <v>3004</v>
      </c>
      <c r="F80" s="45">
        <f t="shared" si="20"/>
        <v>333.77777777777777</v>
      </c>
      <c r="G80" s="45"/>
      <c r="H80" s="115"/>
      <c r="I80" s="115">
        <v>1500</v>
      </c>
      <c r="J80" s="116">
        <f t="shared" si="10"/>
        <v>125</v>
      </c>
      <c r="K80" s="101"/>
      <c r="L80">
        <f t="shared" si="21"/>
        <v>4035.373333333333</v>
      </c>
    </row>
    <row r="81" spans="1:11" x14ac:dyDescent="0.25">
      <c r="A81" s="44" t="s">
        <v>62</v>
      </c>
      <c r="B81" s="44">
        <v>3</v>
      </c>
      <c r="C81" s="52">
        <f>381509.99-11987</f>
        <v>369522.99</v>
      </c>
      <c r="D81" s="52">
        <v>137850</v>
      </c>
      <c r="E81" s="52">
        <v>101598</v>
      </c>
      <c r="F81" s="52">
        <f>E81/9</f>
        <v>11288.666666666666</v>
      </c>
      <c r="G81" s="52"/>
      <c r="H81" s="142">
        <v>0</v>
      </c>
      <c r="I81" s="142">
        <v>135470</v>
      </c>
      <c r="J81" s="120">
        <f t="shared" si="10"/>
        <v>11289.166666666666</v>
      </c>
      <c r="K81" s="101" t="s">
        <v>253</v>
      </c>
    </row>
    <row r="82" spans="1:11" x14ac:dyDescent="0.25">
      <c r="A82" s="75" t="s">
        <v>85</v>
      </c>
      <c r="B82" s="44"/>
      <c r="C82" s="45">
        <f>SUM(C73:C81)</f>
        <v>540475.42999999993</v>
      </c>
      <c r="D82" s="45">
        <f>SUM(D73:D81)</f>
        <v>210410</v>
      </c>
      <c r="E82" s="45">
        <f>SUM(E73:E81)</f>
        <v>162581</v>
      </c>
      <c r="F82" s="45">
        <f>SUM(F75:F81)</f>
        <v>18064.555555555555</v>
      </c>
      <c r="G82" s="45"/>
      <c r="H82" s="86">
        <f>D82*$M$7</f>
        <v>6312.3</v>
      </c>
      <c r="I82" s="86">
        <f>SUM(I75:I81)</f>
        <v>217820</v>
      </c>
      <c r="J82" s="88">
        <f t="shared" si="10"/>
        <v>18151.666666666668</v>
      </c>
      <c r="K82" s="101"/>
    </row>
    <row r="83" spans="1:11" x14ac:dyDescent="0.25">
      <c r="A83" s="75"/>
      <c r="B83" s="44"/>
      <c r="C83" s="59"/>
      <c r="D83" s="59"/>
      <c r="E83" s="59"/>
      <c r="F83" s="59"/>
      <c r="G83" s="59"/>
      <c r="H83" s="86"/>
      <c r="I83" s="80"/>
      <c r="J83" s="89"/>
      <c r="K83" s="101"/>
    </row>
    <row r="84" spans="1:11" x14ac:dyDescent="0.25">
      <c r="A84" s="75" t="s">
        <v>454</v>
      </c>
      <c r="B84" s="44"/>
      <c r="C84" s="59"/>
      <c r="D84" s="59"/>
      <c r="E84" s="59"/>
      <c r="F84" s="59"/>
      <c r="G84" s="59"/>
      <c r="H84" s="86"/>
      <c r="I84" s="80"/>
      <c r="J84" s="89"/>
      <c r="K84" s="101"/>
    </row>
    <row r="85" spans="1:11" x14ac:dyDescent="0.25">
      <c r="A85" s="44" t="s">
        <v>226</v>
      </c>
      <c r="B85" s="44">
        <v>3</v>
      </c>
      <c r="C85" s="45">
        <f>127775.21-67105</f>
        <v>60670.210000000006</v>
      </c>
      <c r="D85" s="45">
        <v>11610</v>
      </c>
      <c r="E85" s="45">
        <v>10332</v>
      </c>
      <c r="F85" s="45">
        <f>E85/9</f>
        <v>1148</v>
      </c>
      <c r="G85" s="45"/>
      <c r="H85" s="115">
        <v>0</v>
      </c>
      <c r="I85" s="115">
        <v>2440</v>
      </c>
      <c r="J85" s="116">
        <f>I85/12</f>
        <v>203.33333333333334</v>
      </c>
      <c r="K85" s="101" t="s">
        <v>586</v>
      </c>
    </row>
    <row r="86" spans="1:11" x14ac:dyDescent="0.25">
      <c r="A86" s="44" t="s">
        <v>230</v>
      </c>
      <c r="B86" s="44">
        <v>3</v>
      </c>
      <c r="C86" s="52">
        <f>677583.12+27125</f>
        <v>704708.12</v>
      </c>
      <c r="D86" s="52">
        <v>251210</v>
      </c>
      <c r="E86" s="52">
        <v>208685</v>
      </c>
      <c r="F86" s="52">
        <f>E86/9</f>
        <v>23187.222222222223</v>
      </c>
      <c r="G86" s="52"/>
      <c r="H86" s="142">
        <v>0</v>
      </c>
      <c r="I86" s="142">
        <v>172780</v>
      </c>
      <c r="J86" s="120">
        <f>I86/12</f>
        <v>14398.333333333334</v>
      </c>
      <c r="K86" s="101" t="s">
        <v>586</v>
      </c>
    </row>
    <row r="87" spans="1:11" x14ac:dyDescent="0.25">
      <c r="A87" s="75" t="s">
        <v>308</v>
      </c>
      <c r="B87" s="44"/>
      <c r="C87" s="45">
        <f>SUM(C85:C86)</f>
        <v>765378.33</v>
      </c>
      <c r="D87" s="45">
        <f t="shared" ref="D87:J87" si="22">SUM(D85:D86)</f>
        <v>262820</v>
      </c>
      <c r="E87" s="45">
        <f t="shared" si="22"/>
        <v>219017</v>
      </c>
      <c r="F87" s="45">
        <f>SUM(F85:F86)</f>
        <v>24335.222222222223</v>
      </c>
      <c r="G87" s="45"/>
      <c r="H87" s="115">
        <f t="shared" si="22"/>
        <v>0</v>
      </c>
      <c r="I87" s="115">
        <f t="shared" si="22"/>
        <v>175220</v>
      </c>
      <c r="J87" s="116">
        <f t="shared" si="22"/>
        <v>14601.666666666668</v>
      </c>
      <c r="K87" s="101"/>
    </row>
    <row r="88" spans="1:11" x14ac:dyDescent="0.25">
      <c r="A88" s="44"/>
      <c r="B88" s="44"/>
      <c r="C88" s="44"/>
      <c r="D88" s="44"/>
      <c r="E88" s="44"/>
      <c r="F88" s="44"/>
      <c r="G88" s="44"/>
      <c r="H88" s="93"/>
      <c r="I88" s="93"/>
      <c r="J88" s="95"/>
      <c r="K88" s="101"/>
    </row>
    <row r="89" spans="1:11" x14ac:dyDescent="0.25">
      <c r="A89" s="75" t="s">
        <v>78</v>
      </c>
      <c r="B89" s="44"/>
      <c r="C89" s="44"/>
      <c r="D89" s="44"/>
      <c r="E89" s="44"/>
      <c r="F89" s="44"/>
      <c r="G89" s="44"/>
      <c r="H89" s="93"/>
      <c r="I89" s="93"/>
      <c r="J89" s="95"/>
      <c r="K89" s="101"/>
    </row>
    <row r="90" spans="1:11" x14ac:dyDescent="0.25">
      <c r="A90" s="44" t="s">
        <v>63</v>
      </c>
      <c r="B90" s="44">
        <v>3</v>
      </c>
      <c r="C90" s="52">
        <v>105000</v>
      </c>
      <c r="D90" s="52">
        <v>36000</v>
      </c>
      <c r="E90" s="52">
        <v>27000</v>
      </c>
      <c r="F90" s="52">
        <f>E90/9</f>
        <v>3000</v>
      </c>
      <c r="G90" s="52"/>
      <c r="H90" s="142">
        <v>0</v>
      </c>
      <c r="I90" s="142">
        <f t="shared" ref="I90:I93" si="23">D90+H90</f>
        <v>36000</v>
      </c>
      <c r="J90" s="120">
        <f t="shared" si="10"/>
        <v>3000</v>
      </c>
      <c r="K90" s="101"/>
    </row>
    <row r="91" spans="1:11" x14ac:dyDescent="0.25">
      <c r="A91" s="75" t="s">
        <v>86</v>
      </c>
      <c r="B91" s="44"/>
      <c r="C91" s="45">
        <f>SUM(C90)</f>
        <v>105000</v>
      </c>
      <c r="D91" s="45">
        <f t="shared" ref="D91:J91" si="24">SUM(D90)</f>
        <v>36000</v>
      </c>
      <c r="E91" s="45">
        <f t="shared" si="24"/>
        <v>27000</v>
      </c>
      <c r="F91" s="45">
        <f>SUM(F90)</f>
        <v>3000</v>
      </c>
      <c r="G91" s="45"/>
      <c r="H91" s="80">
        <f t="shared" si="24"/>
        <v>0</v>
      </c>
      <c r="I91" s="80">
        <f t="shared" si="24"/>
        <v>36000</v>
      </c>
      <c r="J91" s="82">
        <f t="shared" si="24"/>
        <v>3000</v>
      </c>
      <c r="K91" s="101"/>
    </row>
    <row r="92" spans="1:11" x14ac:dyDescent="0.25">
      <c r="A92" s="75"/>
      <c r="B92" s="44"/>
      <c r="C92" s="45"/>
      <c r="D92" s="45"/>
      <c r="E92" s="45"/>
      <c r="F92" s="45"/>
      <c r="G92" s="45"/>
      <c r="H92" s="80"/>
      <c r="I92" s="80"/>
      <c r="J92" s="82"/>
      <c r="K92" s="101"/>
    </row>
    <row r="93" spans="1:11" hidden="1" x14ac:dyDescent="0.25">
      <c r="A93" s="44" t="s">
        <v>191</v>
      </c>
      <c r="B93" s="44">
        <v>3</v>
      </c>
      <c r="C93" s="45">
        <v>0</v>
      </c>
      <c r="D93" s="45">
        <f t="shared" ref="D93" si="25">C93/3</f>
        <v>0</v>
      </c>
      <c r="E93" s="45">
        <f t="shared" ref="E93" si="26">D93/12</f>
        <v>0</v>
      </c>
      <c r="F93" s="45"/>
      <c r="G93" s="45"/>
      <c r="H93" s="115">
        <f>D93*$M$7</f>
        <v>0</v>
      </c>
      <c r="I93" s="115">
        <f t="shared" si="23"/>
        <v>0</v>
      </c>
      <c r="J93" s="116">
        <f t="shared" si="10"/>
        <v>0</v>
      </c>
      <c r="K93" s="101"/>
    </row>
    <row r="94" spans="1:11" x14ac:dyDescent="0.25">
      <c r="A94" s="75" t="s">
        <v>453</v>
      </c>
      <c r="B94" s="44"/>
      <c r="C94" s="45"/>
      <c r="D94" s="45"/>
      <c r="E94" s="45"/>
      <c r="F94" s="45"/>
      <c r="G94" s="45"/>
      <c r="H94" s="115"/>
      <c r="I94" s="115"/>
      <c r="J94" s="116"/>
      <c r="K94" s="101"/>
    </row>
    <row r="95" spans="1:11" x14ac:dyDescent="0.25">
      <c r="A95" s="44" t="s">
        <v>25</v>
      </c>
      <c r="B95" s="44">
        <v>3</v>
      </c>
      <c r="C95" s="45">
        <f>70139-3</f>
        <v>70136</v>
      </c>
      <c r="D95" s="45">
        <v>90000</v>
      </c>
      <c r="E95" s="45">
        <v>15000</v>
      </c>
      <c r="F95" s="45">
        <f>E95/9</f>
        <v>1666.6666666666667</v>
      </c>
      <c r="G95" s="45"/>
      <c r="H95" s="115">
        <v>0</v>
      </c>
      <c r="I95" s="115">
        <v>84000</v>
      </c>
      <c r="J95" s="116">
        <f t="shared" si="10"/>
        <v>7000</v>
      </c>
      <c r="K95" s="101" t="s">
        <v>628</v>
      </c>
    </row>
    <row r="96" spans="1:11" x14ac:dyDescent="0.25">
      <c r="A96" s="44" t="s">
        <v>228</v>
      </c>
      <c r="B96" s="44">
        <v>3</v>
      </c>
      <c r="C96" s="45">
        <v>0</v>
      </c>
      <c r="D96" s="45">
        <v>15000</v>
      </c>
      <c r="E96" s="45">
        <v>0</v>
      </c>
      <c r="F96" s="45">
        <f t="shared" ref="F96:F99" si="27">E96/9</f>
        <v>0</v>
      </c>
      <c r="G96" s="45"/>
      <c r="H96" s="115">
        <f>D96*$M$7</f>
        <v>450</v>
      </c>
      <c r="I96" s="115">
        <v>36000</v>
      </c>
      <c r="J96" s="116">
        <f t="shared" si="10"/>
        <v>3000</v>
      </c>
      <c r="K96" s="101" t="s">
        <v>652</v>
      </c>
    </row>
    <row r="97" spans="1:11" hidden="1" x14ac:dyDescent="0.25">
      <c r="A97" s="44" t="s">
        <v>229</v>
      </c>
      <c r="B97" s="44">
        <v>3</v>
      </c>
      <c r="C97" s="45">
        <v>5038</v>
      </c>
      <c r="D97" s="45">
        <v>0</v>
      </c>
      <c r="E97" s="45">
        <v>0</v>
      </c>
      <c r="F97" s="45">
        <f t="shared" si="27"/>
        <v>0</v>
      </c>
      <c r="G97" s="45"/>
      <c r="H97" s="115">
        <v>0</v>
      </c>
      <c r="I97" s="115">
        <v>0</v>
      </c>
      <c r="J97" s="116">
        <f t="shared" si="10"/>
        <v>0</v>
      </c>
      <c r="K97" s="144"/>
    </row>
    <row r="98" spans="1:11" hidden="1" x14ac:dyDescent="0.25">
      <c r="A98" s="44" t="s">
        <v>64</v>
      </c>
      <c r="B98" s="44">
        <v>3</v>
      </c>
      <c r="C98" s="45">
        <v>0</v>
      </c>
      <c r="D98" s="45">
        <v>0</v>
      </c>
      <c r="E98" s="45">
        <v>0</v>
      </c>
      <c r="F98" s="45">
        <f t="shared" si="27"/>
        <v>0</v>
      </c>
      <c r="G98" s="45"/>
      <c r="H98" s="115">
        <v>0</v>
      </c>
      <c r="I98" s="115">
        <v>0</v>
      </c>
      <c r="J98" s="116">
        <f t="shared" si="10"/>
        <v>0</v>
      </c>
      <c r="K98" s="144"/>
    </row>
    <row r="99" spans="1:11" hidden="1" x14ac:dyDescent="0.25">
      <c r="A99" s="44" t="s">
        <v>26</v>
      </c>
      <c r="B99" s="44">
        <v>3</v>
      </c>
      <c r="C99" s="45">
        <f>28132+4</f>
        <v>28136</v>
      </c>
      <c r="D99" s="45">
        <v>0</v>
      </c>
      <c r="E99" s="45">
        <v>0</v>
      </c>
      <c r="F99" s="45">
        <f t="shared" si="27"/>
        <v>0</v>
      </c>
      <c r="G99" s="45"/>
      <c r="H99" s="115">
        <v>0</v>
      </c>
      <c r="I99" s="115">
        <v>0</v>
      </c>
      <c r="J99" s="116">
        <f t="shared" si="10"/>
        <v>0</v>
      </c>
      <c r="K99" s="144"/>
    </row>
    <row r="100" spans="1:11" x14ac:dyDescent="0.25">
      <c r="A100" s="44" t="s">
        <v>65</v>
      </c>
      <c r="B100" s="44">
        <v>3</v>
      </c>
      <c r="C100" s="45">
        <f>25401.03-2</f>
        <v>25399.03</v>
      </c>
      <c r="D100" s="52">
        <v>0</v>
      </c>
      <c r="E100" s="52">
        <v>0</v>
      </c>
      <c r="F100" s="52">
        <f>E100/9</f>
        <v>0</v>
      </c>
      <c r="G100" s="52"/>
      <c r="H100" s="142">
        <f>D100*$M$7</f>
        <v>0</v>
      </c>
      <c r="I100" s="142">
        <v>35000</v>
      </c>
      <c r="J100" s="120">
        <f t="shared" si="10"/>
        <v>2916.6666666666665</v>
      </c>
      <c r="K100" s="136" t="s">
        <v>609</v>
      </c>
    </row>
    <row r="101" spans="1:11" ht="15.75" thickBot="1" x14ac:dyDescent="0.3">
      <c r="A101" s="75" t="s">
        <v>87</v>
      </c>
      <c r="B101" s="44">
        <v>3</v>
      </c>
      <c r="C101" s="45">
        <f t="shared" ref="C101:J101" si="28">SUM(C93:C100)</f>
        <v>128709.03</v>
      </c>
      <c r="D101" s="45">
        <f t="shared" si="28"/>
        <v>105000</v>
      </c>
      <c r="E101" s="45">
        <f t="shared" si="28"/>
        <v>15000</v>
      </c>
      <c r="F101" s="45">
        <f>SUM(F95:F100)</f>
        <v>1666.6666666666667</v>
      </c>
      <c r="G101" s="45"/>
      <c r="H101" s="97">
        <f t="shared" si="28"/>
        <v>450</v>
      </c>
      <c r="I101" s="97">
        <f t="shared" si="28"/>
        <v>155000</v>
      </c>
      <c r="J101" s="98">
        <f t="shared" si="28"/>
        <v>12916.666666666666</v>
      </c>
      <c r="K101" s="101"/>
    </row>
    <row r="102" spans="1:11" x14ac:dyDescent="0.25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</row>
  </sheetData>
  <customSheetViews>
    <customSheetView guid="{D54A66AC-88E3-46FB-AFE3-2E559F565FEB}" scale="80" hiddenRows="1" hiddenColumns="1">
      <pane xSplit="2" ySplit="4" topLeftCell="D23" activePane="bottomRight" state="frozen"/>
      <selection pane="bottomRight" activeCell="K37" sqref="K37"/>
      <pageMargins left="0.75" right="0.75" top="1" bottom="1" header="0.5" footer="0.5"/>
      <pageSetup scale="45" fitToHeight="2" orientation="portrait" r:id="rId1"/>
      <headerFooter alignWithMargins="0"/>
    </customSheetView>
  </customSheetViews>
  <pageMargins left="0.75" right="0.75" top="1" bottom="1" header="0.5" footer="0.5"/>
  <pageSetup scale="45" fitToHeight="2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86"/>
  <sheetViews>
    <sheetView zoomScale="80" zoomScaleNormal="80" workbookViewId="0">
      <pane xSplit="2" ySplit="4" topLeftCell="C23" activePane="bottomRight" state="frozen"/>
      <selection activeCell="A180" sqref="A180"/>
      <selection pane="topRight" activeCell="A180" sqref="A180"/>
      <selection pane="bottomLeft" activeCell="A180" sqref="A180"/>
      <selection pane="bottomRight" activeCell="K36" sqref="K36"/>
    </sheetView>
  </sheetViews>
  <sheetFormatPr defaultRowHeight="15" x14ac:dyDescent="0.25"/>
  <cols>
    <col min="1" max="1" width="64.5703125" customWidth="1"/>
    <col min="2" max="2" width="9.140625" hidden="1" customWidth="1"/>
    <col min="3" max="3" width="0.85546875" hidden="1" customWidth="1"/>
    <col min="4" max="4" width="14.7109375" customWidth="1"/>
    <col min="5" max="5" width="11.85546875" bestFit="1" customWidth="1"/>
    <col min="6" max="6" width="11.85546875" customWidth="1"/>
    <col min="7" max="7" width="2.7109375" customWidth="1"/>
    <col min="8" max="8" width="0" hidden="1" customWidth="1"/>
    <col min="9" max="9" width="26" customWidth="1"/>
    <col min="10" max="10" width="12.85546875" bestFit="1" customWidth="1"/>
    <col min="11" max="11" width="56.28515625" customWidth="1"/>
    <col min="12" max="12" width="12.5703125" hidden="1" customWidth="1"/>
    <col min="13" max="14" width="0" hidden="1" customWidth="1"/>
  </cols>
  <sheetData>
    <row r="1" spans="1:13" ht="18.75" x14ac:dyDescent="0.3">
      <c r="A1" s="104"/>
      <c r="B1" s="104"/>
      <c r="C1" s="104"/>
      <c r="D1" s="104"/>
      <c r="E1" s="104"/>
      <c r="F1" s="104"/>
      <c r="G1" s="104"/>
      <c r="H1" s="104"/>
      <c r="I1" s="274" t="str">
        <f>'Kendall Apts'!I1:J1</f>
        <v>Projected Annual Budget 2017</v>
      </c>
      <c r="J1" s="275"/>
      <c r="K1" s="108"/>
    </row>
    <row r="2" spans="1:13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1" t="s">
        <v>591</v>
      </c>
    </row>
    <row r="3" spans="1:13" ht="21" thickBot="1" x14ac:dyDescent="0.35">
      <c r="A3" s="99" t="s">
        <v>576</v>
      </c>
      <c r="B3" s="104"/>
      <c r="C3" s="104"/>
      <c r="D3" s="109"/>
      <c r="E3" s="104"/>
      <c r="F3" s="104"/>
      <c r="G3" s="104"/>
      <c r="H3" s="104"/>
      <c r="I3" s="110"/>
      <c r="J3" s="95"/>
      <c r="K3" s="101" t="s">
        <v>640</v>
      </c>
    </row>
    <row r="4" spans="1:13" ht="45.75" thickBot="1" x14ac:dyDescent="0.3">
      <c r="A4" s="39" t="s">
        <v>71</v>
      </c>
      <c r="B4" s="39" t="s">
        <v>72</v>
      </c>
      <c r="C4" s="39" t="s">
        <v>73</v>
      </c>
      <c r="D4" s="40" t="str">
        <f>'Kendall Apts'!D4</f>
        <v>2016 Annual Budget</v>
      </c>
      <c r="E4" s="40" t="str">
        <f>'Kendall Apts'!E4</f>
        <v>YTD Actual FY 2016 @ 9/30/16</v>
      </c>
      <c r="F4" s="40" t="str">
        <f>'Kendall Apts'!G4</f>
        <v>FY 2016 - 9 month Avg</v>
      </c>
      <c r="G4" s="46"/>
      <c r="H4" s="111"/>
      <c r="I4" s="112" t="s">
        <v>427</v>
      </c>
      <c r="J4" s="113" t="s">
        <v>428</v>
      </c>
      <c r="K4" s="103"/>
      <c r="M4" s="21" t="s">
        <v>392</v>
      </c>
    </row>
    <row r="5" spans="1:13" x14ac:dyDescent="0.25">
      <c r="A5" s="44" t="s">
        <v>33</v>
      </c>
      <c r="B5" s="44">
        <v>3</v>
      </c>
      <c r="C5" s="45">
        <f>-275890.5-4309</f>
        <v>-280199.5</v>
      </c>
      <c r="D5" s="46">
        <v>99820</v>
      </c>
      <c r="E5" s="46">
        <v>78125</v>
      </c>
      <c r="F5" s="46">
        <f>E5/9</f>
        <v>8680.5555555555547</v>
      </c>
      <c r="G5" s="46"/>
      <c r="H5" s="47">
        <v>0</v>
      </c>
      <c r="I5" s="47">
        <v>104950</v>
      </c>
      <c r="J5" s="49">
        <f t="shared" ref="J5:J11" si="0">I5/12</f>
        <v>8745.8333333333339</v>
      </c>
      <c r="K5" s="107"/>
      <c r="L5">
        <f t="shared" ref="L5:L11" si="1">SUM(E5)+(F5*3)*1.03</f>
        <v>104947.91666666666</v>
      </c>
      <c r="M5" s="23">
        <v>0.03</v>
      </c>
    </row>
    <row r="6" spans="1:13" x14ac:dyDescent="0.25">
      <c r="A6" s="44" t="s">
        <v>34</v>
      </c>
      <c r="B6" s="44">
        <v>3</v>
      </c>
      <c r="C6" s="45">
        <f>6854+1156</f>
        <v>8010</v>
      </c>
      <c r="D6" s="46">
        <v>-2000</v>
      </c>
      <c r="E6" s="46">
        <v>-1036</v>
      </c>
      <c r="F6" s="46">
        <f t="shared" ref="F6:F9" si="2">E6/9</f>
        <v>-115.11111111111111</v>
      </c>
      <c r="G6" s="45"/>
      <c r="H6" s="50">
        <v>0</v>
      </c>
      <c r="I6" s="50">
        <v>-2100</v>
      </c>
      <c r="J6" s="51">
        <f t="shared" si="0"/>
        <v>-175</v>
      </c>
      <c r="K6" s="101" t="s">
        <v>568</v>
      </c>
      <c r="L6">
        <f>I5*2%</f>
        <v>2099</v>
      </c>
      <c r="M6" s="21" t="s">
        <v>74</v>
      </c>
    </row>
    <row r="7" spans="1:13" x14ac:dyDescent="0.25">
      <c r="A7" s="44" t="s">
        <v>437</v>
      </c>
      <c r="B7" s="44"/>
      <c r="C7" s="45"/>
      <c r="D7" s="46">
        <v>27000</v>
      </c>
      <c r="E7" s="46">
        <v>0</v>
      </c>
      <c r="F7" s="46">
        <f t="shared" si="2"/>
        <v>0</v>
      </c>
      <c r="G7" s="46"/>
      <c r="H7" s="50">
        <v>0</v>
      </c>
      <c r="I7" s="50">
        <v>0</v>
      </c>
      <c r="J7" s="51">
        <v>0</v>
      </c>
      <c r="K7" s="104"/>
      <c r="L7">
        <f t="shared" si="1"/>
        <v>0</v>
      </c>
      <c r="M7" s="21"/>
    </row>
    <row r="8" spans="1:13" x14ac:dyDescent="0.25">
      <c r="A8" s="44" t="s">
        <v>35</v>
      </c>
      <c r="B8" s="44">
        <v>3</v>
      </c>
      <c r="C8" s="45">
        <f>-21-9</f>
        <v>-30</v>
      </c>
      <c r="D8" s="46">
        <v>10</v>
      </c>
      <c r="E8" s="46">
        <v>7</v>
      </c>
      <c r="F8" s="46">
        <f t="shared" si="2"/>
        <v>0.77777777777777779</v>
      </c>
      <c r="G8" s="46"/>
      <c r="H8" s="50">
        <f>D8*$M$5</f>
        <v>0.3</v>
      </c>
      <c r="I8" s="50">
        <f t="shared" ref="I8" si="3">D8+H8</f>
        <v>10.3</v>
      </c>
      <c r="J8" s="51">
        <f t="shared" si="0"/>
        <v>0.85833333333333339</v>
      </c>
      <c r="K8" s="104"/>
      <c r="L8">
        <f t="shared" si="1"/>
        <v>9.4033333333333342</v>
      </c>
      <c r="M8" s="23">
        <v>0.05</v>
      </c>
    </row>
    <row r="9" spans="1:13" x14ac:dyDescent="0.25">
      <c r="A9" s="44" t="s">
        <v>36</v>
      </c>
      <c r="B9" s="44">
        <v>3</v>
      </c>
      <c r="C9" s="45">
        <f>-3191.86+599</f>
        <v>-2592.86</v>
      </c>
      <c r="D9" s="46">
        <v>1240</v>
      </c>
      <c r="E9" s="46">
        <v>1023</v>
      </c>
      <c r="F9" s="46">
        <f t="shared" si="2"/>
        <v>113.66666666666667</v>
      </c>
      <c r="G9" s="45"/>
      <c r="H9" s="50">
        <f>D9*$M$5</f>
        <v>37.199999999999996</v>
      </c>
      <c r="I9" s="50">
        <v>1370</v>
      </c>
      <c r="J9" s="51">
        <f t="shared" si="0"/>
        <v>114.16666666666667</v>
      </c>
      <c r="K9" s="104"/>
      <c r="L9">
        <f t="shared" si="1"/>
        <v>1374.23</v>
      </c>
    </row>
    <row r="10" spans="1:13" x14ac:dyDescent="0.25">
      <c r="A10" s="44" t="s">
        <v>37</v>
      </c>
      <c r="B10" s="44">
        <v>3</v>
      </c>
      <c r="C10" s="45">
        <f>-1029.66-1503</f>
        <v>-2532.66</v>
      </c>
      <c r="D10" s="46">
        <v>350</v>
      </c>
      <c r="E10" s="46">
        <v>252</v>
      </c>
      <c r="F10" s="46">
        <f>E10/9</f>
        <v>28</v>
      </c>
      <c r="G10" s="45"/>
      <c r="H10" s="50">
        <f>D10*$M$5</f>
        <v>10.5</v>
      </c>
      <c r="I10" s="50">
        <v>340</v>
      </c>
      <c r="J10" s="51">
        <f t="shared" si="0"/>
        <v>28.333333333333332</v>
      </c>
      <c r="K10" s="104"/>
      <c r="L10">
        <f t="shared" si="1"/>
        <v>338.52</v>
      </c>
    </row>
    <row r="11" spans="1:13" x14ac:dyDescent="0.25">
      <c r="A11" s="44" t="s">
        <v>284</v>
      </c>
      <c r="B11" s="44">
        <v>3</v>
      </c>
      <c r="C11" s="52">
        <f>-583.15-873</f>
        <v>-1456.15</v>
      </c>
      <c r="D11" s="53">
        <v>340</v>
      </c>
      <c r="E11" s="53">
        <v>317</v>
      </c>
      <c r="F11" s="53">
        <f>E11/9</f>
        <v>35.222222222222221</v>
      </c>
      <c r="G11" s="46"/>
      <c r="H11" s="54">
        <f>D11*$M$5</f>
        <v>10.199999999999999</v>
      </c>
      <c r="I11" s="54">
        <v>420</v>
      </c>
      <c r="J11" s="56">
        <f t="shared" si="0"/>
        <v>35</v>
      </c>
      <c r="K11" s="104"/>
      <c r="L11">
        <f t="shared" si="1"/>
        <v>425.83666666666664</v>
      </c>
    </row>
    <row r="12" spans="1:13" x14ac:dyDescent="0.25">
      <c r="A12" s="44" t="s">
        <v>75</v>
      </c>
      <c r="B12" s="44"/>
      <c r="C12" s="45">
        <f t="shared" ref="C12:J12" si="4">SUM(C5:C11)</f>
        <v>-278801.17</v>
      </c>
      <c r="D12" s="46">
        <f t="shared" si="4"/>
        <v>126760</v>
      </c>
      <c r="E12" s="46">
        <f t="shared" si="4"/>
        <v>78688</v>
      </c>
      <c r="F12" s="46">
        <f>SUM(F5:F11)</f>
        <v>8743.1111111111095</v>
      </c>
      <c r="G12" s="45"/>
      <c r="H12" s="50">
        <f t="shared" si="4"/>
        <v>58.199999999999989</v>
      </c>
      <c r="I12" s="50">
        <f t="shared" si="4"/>
        <v>104990.3</v>
      </c>
      <c r="J12" s="51">
        <f t="shared" si="4"/>
        <v>8749.1916666666675</v>
      </c>
      <c r="K12" s="101"/>
    </row>
    <row r="13" spans="1:13" x14ac:dyDescent="0.25">
      <c r="A13" s="44"/>
      <c r="B13" s="44"/>
      <c r="C13" s="45"/>
      <c r="D13" s="46"/>
      <c r="E13" s="46"/>
      <c r="F13" s="46"/>
      <c r="G13" s="46"/>
      <c r="H13" s="50"/>
      <c r="I13" s="50"/>
      <c r="J13" s="51"/>
      <c r="K13" s="101"/>
    </row>
    <row r="14" spans="1:13" x14ac:dyDescent="0.25">
      <c r="A14" s="44" t="s">
        <v>76</v>
      </c>
      <c r="B14" s="44"/>
      <c r="C14" s="45">
        <f>C35</f>
        <v>20617.66</v>
      </c>
      <c r="D14" s="46">
        <f>-D35</f>
        <v>-7570</v>
      </c>
      <c r="E14" s="46">
        <f>-E35</f>
        <v>-6113</v>
      </c>
      <c r="F14" s="46">
        <f>E14/9</f>
        <v>-679.22222222222217</v>
      </c>
      <c r="G14" s="46"/>
      <c r="H14" s="60">
        <f>H35</f>
        <v>77.400000000000006</v>
      </c>
      <c r="I14" s="60">
        <f>-I35</f>
        <v>-8440</v>
      </c>
      <c r="J14" s="62">
        <f>-J35</f>
        <v>-703.33333333333337</v>
      </c>
      <c r="K14" s="106"/>
      <c r="L14" s="24"/>
    </row>
    <row r="15" spans="1:13" x14ac:dyDescent="0.25">
      <c r="A15" s="44" t="s">
        <v>83</v>
      </c>
      <c r="B15" s="44"/>
      <c r="C15" s="45">
        <f>C42</f>
        <v>15940.16</v>
      </c>
      <c r="D15" s="46">
        <f>-D42</f>
        <v>-5670</v>
      </c>
      <c r="E15" s="46">
        <f>-E42</f>
        <v>-4682</v>
      </c>
      <c r="F15" s="46">
        <f t="shared" ref="F15:F19" si="5">E15/9</f>
        <v>-520.22222222222217</v>
      </c>
      <c r="G15" s="45"/>
      <c r="H15" s="114">
        <f>H42</f>
        <v>0</v>
      </c>
      <c r="I15" s="60">
        <f>-I42</f>
        <v>-6350</v>
      </c>
      <c r="J15" s="62">
        <f>-J42</f>
        <v>-529.16666666666663</v>
      </c>
      <c r="K15" s="106"/>
    </row>
    <row r="16" spans="1:13" x14ac:dyDescent="0.25">
      <c r="A16" s="44" t="s">
        <v>88</v>
      </c>
      <c r="B16" s="44"/>
      <c r="C16" s="45">
        <f>C55</f>
        <v>62418.750000000007</v>
      </c>
      <c r="D16" s="46">
        <f>-D55</f>
        <v>-23786</v>
      </c>
      <c r="E16" s="46">
        <f>-E55</f>
        <v>-46429</v>
      </c>
      <c r="F16" s="46">
        <f t="shared" si="5"/>
        <v>-5158.7777777777774</v>
      </c>
      <c r="G16" s="45"/>
      <c r="H16" s="114">
        <f>H55</f>
        <v>713.57999999999993</v>
      </c>
      <c r="I16" s="60">
        <f>-I55</f>
        <v>-37570</v>
      </c>
      <c r="J16" s="62">
        <f>-J55</f>
        <v>-3130.8333333333335</v>
      </c>
      <c r="K16" s="106"/>
    </row>
    <row r="17" spans="1:12" x14ac:dyDescent="0.25">
      <c r="A17" s="44" t="s">
        <v>77</v>
      </c>
      <c r="B17" s="44"/>
      <c r="C17" s="45">
        <f>C54</f>
        <v>5272.51</v>
      </c>
      <c r="D17" s="46">
        <f>-D65</f>
        <v>-43470</v>
      </c>
      <c r="E17" s="46">
        <f>-E65</f>
        <v>-38009</v>
      </c>
      <c r="F17" s="46">
        <f t="shared" si="5"/>
        <v>-4223.2222222222226</v>
      </c>
      <c r="G17" s="45"/>
      <c r="H17" s="114">
        <f>H65</f>
        <v>1304.0999999999999</v>
      </c>
      <c r="I17" s="60">
        <f>-I65</f>
        <v>-46630</v>
      </c>
      <c r="J17" s="62">
        <f>-J65</f>
        <v>-3885.8333333333335</v>
      </c>
      <c r="K17" s="106"/>
    </row>
    <row r="18" spans="1:12" x14ac:dyDescent="0.25">
      <c r="A18" s="44" t="s">
        <v>296</v>
      </c>
      <c r="B18" s="44"/>
      <c r="C18" s="45">
        <f>C89</f>
        <v>0</v>
      </c>
      <c r="D18" s="46">
        <f>-D70</f>
        <v>-58240</v>
      </c>
      <c r="E18" s="46">
        <f>-E70</f>
        <v>-48539</v>
      </c>
      <c r="F18" s="46">
        <f t="shared" si="5"/>
        <v>-5393.2222222222226</v>
      </c>
      <c r="G18" s="45"/>
      <c r="H18" s="115">
        <f>H89</f>
        <v>0</v>
      </c>
      <c r="I18" s="60">
        <f>-I70</f>
        <v>-58240</v>
      </c>
      <c r="J18" s="62">
        <f>-J70</f>
        <v>-4853.333333333333</v>
      </c>
      <c r="K18" s="101"/>
    </row>
    <row r="19" spans="1:12" x14ac:dyDescent="0.25">
      <c r="A19" s="44" t="s">
        <v>78</v>
      </c>
      <c r="B19" s="44"/>
      <c r="C19" s="45">
        <f>C59</f>
        <v>44427.26</v>
      </c>
      <c r="D19" s="46">
        <f>-D74</f>
        <v>-3600</v>
      </c>
      <c r="E19" s="46">
        <f>-E74</f>
        <v>-2812</v>
      </c>
      <c r="F19" s="46">
        <f t="shared" si="5"/>
        <v>-312.44444444444446</v>
      </c>
      <c r="G19" s="45"/>
      <c r="H19" s="114">
        <f>H73</f>
        <v>0</v>
      </c>
      <c r="I19" s="60">
        <f>-I73</f>
        <v>-3600</v>
      </c>
      <c r="J19" s="62">
        <f>-J73</f>
        <v>-300</v>
      </c>
      <c r="K19" s="106"/>
    </row>
    <row r="20" spans="1:12" x14ac:dyDescent="0.25">
      <c r="A20" s="44" t="s">
        <v>79</v>
      </c>
      <c r="B20" s="63"/>
      <c r="C20" s="52">
        <f>C80</f>
        <v>27116</v>
      </c>
      <c r="D20" s="53">
        <f>-D85</f>
        <v>-12000</v>
      </c>
      <c r="E20" s="53">
        <f>-E85</f>
        <v>-6377</v>
      </c>
      <c r="F20" s="53">
        <f>E20/9</f>
        <v>-708.55555555555554</v>
      </c>
      <c r="G20" s="46"/>
      <c r="H20" s="64">
        <f>H85</f>
        <v>0</v>
      </c>
      <c r="I20" s="64">
        <f>-I85</f>
        <v>-1800</v>
      </c>
      <c r="J20" s="66">
        <f>-J85</f>
        <v>-150</v>
      </c>
      <c r="K20" s="106"/>
    </row>
    <row r="21" spans="1:12" x14ac:dyDescent="0.25">
      <c r="A21" s="44" t="s">
        <v>80</v>
      </c>
      <c r="B21" s="44"/>
      <c r="C21" s="45">
        <f t="shared" ref="C21:J21" si="6">SUM(C14:C20)</f>
        <v>175792.34</v>
      </c>
      <c r="D21" s="46">
        <f t="shared" si="6"/>
        <v>-154336</v>
      </c>
      <c r="E21" s="46">
        <f t="shared" si="6"/>
        <v>-152961</v>
      </c>
      <c r="F21" s="46">
        <f>SUM(F14:F20)</f>
        <v>-16995.666666666668</v>
      </c>
      <c r="G21" s="46"/>
      <c r="H21" s="67">
        <f t="shared" si="6"/>
        <v>2095.08</v>
      </c>
      <c r="I21" s="60">
        <f t="shared" si="6"/>
        <v>-162630</v>
      </c>
      <c r="J21" s="58">
        <f t="shared" si="6"/>
        <v>-13552.5</v>
      </c>
      <c r="K21" s="106"/>
    </row>
    <row r="22" spans="1:12" x14ac:dyDescent="0.25">
      <c r="A22" s="44"/>
      <c r="B22" s="44"/>
      <c r="C22" s="45"/>
      <c r="D22" s="45"/>
      <c r="E22" s="45"/>
      <c r="F22" s="45"/>
      <c r="G22" s="46"/>
      <c r="H22" s="90"/>
      <c r="I22" s="114"/>
      <c r="J22" s="116"/>
      <c r="K22" s="106"/>
    </row>
    <row r="23" spans="1:12" ht="15.75" thickBot="1" x14ac:dyDescent="0.3">
      <c r="A23" s="69" t="s">
        <v>550</v>
      </c>
      <c r="B23" s="70"/>
      <c r="C23" s="71">
        <f>SUM(-C13-C21)</f>
        <v>-175792.34</v>
      </c>
      <c r="D23" s="72">
        <f>SUM(D12+D21)+D64</f>
        <v>274</v>
      </c>
      <c r="E23" s="72">
        <f>SUM(E12+E21)+E64</f>
        <v>-53107</v>
      </c>
      <c r="F23" s="72">
        <f>SUM(F12+F21)+F64</f>
        <v>-5900.777777777781</v>
      </c>
      <c r="G23" s="45"/>
      <c r="H23" s="73"/>
      <c r="I23" s="73">
        <f>SUM(I12+I21)+I64</f>
        <v>-29419.699999999997</v>
      </c>
      <c r="J23" s="74">
        <f>SUM(J12+J21)+J64</f>
        <v>-2451.641666666666</v>
      </c>
      <c r="K23" s="107"/>
    </row>
    <row r="24" spans="1:12" x14ac:dyDescent="0.25">
      <c r="A24" s="75" t="s">
        <v>449</v>
      </c>
      <c r="B24" s="44"/>
      <c r="C24" s="59"/>
      <c r="D24" s="59"/>
      <c r="E24" s="59"/>
      <c r="F24" s="59"/>
      <c r="G24" s="59"/>
      <c r="H24" s="86"/>
      <c r="I24" s="80"/>
      <c r="J24" s="89"/>
      <c r="K24" s="107"/>
    </row>
    <row r="25" spans="1:12" x14ac:dyDescent="0.25">
      <c r="A25" s="44" t="s">
        <v>40</v>
      </c>
      <c r="B25" s="44">
        <v>3</v>
      </c>
      <c r="C25" s="45">
        <f>94.28-7</f>
        <v>87.28</v>
      </c>
      <c r="D25" s="45">
        <v>30</v>
      </c>
      <c r="E25" s="45">
        <v>12</v>
      </c>
      <c r="F25" s="45">
        <f>E25/9</f>
        <v>1.3333333333333333</v>
      </c>
      <c r="G25" s="45"/>
      <c r="H25" s="80">
        <f>D25*$M$5</f>
        <v>0.89999999999999991</v>
      </c>
      <c r="I25" s="80">
        <v>20</v>
      </c>
      <c r="J25" s="82">
        <f t="shared" ref="J25:J34" si="7">I25/12</f>
        <v>1.6666666666666667</v>
      </c>
      <c r="K25" s="104"/>
      <c r="L25">
        <f t="shared" ref="L25:L34" si="8">SUM(E25)+(F25*3)*1.03</f>
        <v>16.12</v>
      </c>
    </row>
    <row r="26" spans="1:12" x14ac:dyDescent="0.25">
      <c r="A26" s="44" t="s">
        <v>41</v>
      </c>
      <c r="B26" s="44">
        <v>3</v>
      </c>
      <c r="C26" s="45">
        <f>445.28-7</f>
        <v>438.28</v>
      </c>
      <c r="D26" s="45">
        <v>160</v>
      </c>
      <c r="E26" s="45">
        <v>118</v>
      </c>
      <c r="F26" s="45">
        <f t="shared" ref="F26:F33" si="9">E26/9</f>
        <v>13.111111111111111</v>
      </c>
      <c r="G26" s="45"/>
      <c r="H26" s="80">
        <f>D26*$M$5</f>
        <v>4.8</v>
      </c>
      <c r="I26" s="80">
        <v>160</v>
      </c>
      <c r="J26" s="82">
        <f t="shared" si="7"/>
        <v>13.333333333333334</v>
      </c>
      <c r="K26" s="104"/>
      <c r="L26">
        <f t="shared" si="8"/>
        <v>158.51333333333332</v>
      </c>
    </row>
    <row r="27" spans="1:12" x14ac:dyDescent="0.25">
      <c r="A27" s="44" t="s">
        <v>429</v>
      </c>
      <c r="B27" s="44">
        <v>3</v>
      </c>
      <c r="C27" s="45">
        <f>35.6+81</f>
        <v>116.6</v>
      </c>
      <c r="D27" s="45">
        <v>40</v>
      </c>
      <c r="E27" s="45">
        <v>162</v>
      </c>
      <c r="F27" s="45">
        <f t="shared" si="9"/>
        <v>18</v>
      </c>
      <c r="G27" s="45"/>
      <c r="H27" s="80">
        <f>D27*$M$5</f>
        <v>1.2</v>
      </c>
      <c r="I27" s="80">
        <v>220</v>
      </c>
      <c r="J27" s="82">
        <f t="shared" si="7"/>
        <v>18.333333333333332</v>
      </c>
      <c r="K27" s="104"/>
      <c r="L27">
        <f t="shared" si="8"/>
        <v>217.62</v>
      </c>
    </row>
    <row r="28" spans="1:12" x14ac:dyDescent="0.25">
      <c r="A28" s="44" t="s">
        <v>285</v>
      </c>
      <c r="B28" s="44">
        <v>3</v>
      </c>
      <c r="C28" s="45">
        <f>13611.74+45</f>
        <v>13656.74</v>
      </c>
      <c r="D28" s="45">
        <v>4990</v>
      </c>
      <c r="E28" s="45">
        <v>3934</v>
      </c>
      <c r="F28" s="45">
        <f t="shared" si="9"/>
        <v>437.11111111111109</v>
      </c>
      <c r="G28" s="45"/>
      <c r="H28" s="80">
        <v>0</v>
      </c>
      <c r="I28" s="80">
        <v>5250</v>
      </c>
      <c r="J28" s="82">
        <f t="shared" si="7"/>
        <v>437.5</v>
      </c>
      <c r="K28" s="101" t="s">
        <v>566</v>
      </c>
      <c r="L28">
        <f>I12*5%</f>
        <v>5249.5150000000003</v>
      </c>
    </row>
    <row r="29" spans="1:12" x14ac:dyDescent="0.25">
      <c r="A29" s="44" t="s">
        <v>244</v>
      </c>
      <c r="B29" s="44"/>
      <c r="C29" s="45"/>
      <c r="D29" s="45">
        <v>0</v>
      </c>
      <c r="E29" s="45">
        <v>0</v>
      </c>
      <c r="F29" s="45">
        <f t="shared" si="9"/>
        <v>0</v>
      </c>
      <c r="G29" s="45"/>
      <c r="H29" s="80">
        <v>0</v>
      </c>
      <c r="I29" s="80">
        <v>250</v>
      </c>
      <c r="J29" s="82">
        <f t="shared" si="7"/>
        <v>20.833333333333332</v>
      </c>
      <c r="K29" s="104"/>
      <c r="L29">
        <f t="shared" si="8"/>
        <v>0</v>
      </c>
    </row>
    <row r="30" spans="1:12" x14ac:dyDescent="0.25">
      <c r="A30" s="44" t="s">
        <v>43</v>
      </c>
      <c r="B30" s="44">
        <v>3</v>
      </c>
      <c r="C30" s="45">
        <f>1560.63-833</f>
        <v>727.63000000000011</v>
      </c>
      <c r="D30" s="45">
        <v>260</v>
      </c>
      <c r="E30" s="45">
        <v>377</v>
      </c>
      <c r="F30" s="45">
        <f t="shared" si="9"/>
        <v>41.888888888888886</v>
      </c>
      <c r="G30" s="45"/>
      <c r="H30" s="80">
        <f>D30*$M$5</f>
        <v>7.8</v>
      </c>
      <c r="I30" s="80">
        <v>510</v>
      </c>
      <c r="J30" s="82">
        <f t="shared" si="7"/>
        <v>42.5</v>
      </c>
      <c r="K30" s="104"/>
      <c r="L30">
        <f t="shared" si="8"/>
        <v>506.43666666666667</v>
      </c>
    </row>
    <row r="31" spans="1:12" x14ac:dyDescent="0.25">
      <c r="A31" s="44" t="s">
        <v>44</v>
      </c>
      <c r="B31" s="44">
        <v>3</v>
      </c>
      <c r="C31" s="45">
        <f>1845.14-9</f>
        <v>1836.14</v>
      </c>
      <c r="D31" s="45">
        <v>580</v>
      </c>
      <c r="E31" s="45">
        <v>536</v>
      </c>
      <c r="F31" s="45">
        <f t="shared" si="9"/>
        <v>59.555555555555557</v>
      </c>
      <c r="G31" s="45"/>
      <c r="H31" s="80">
        <f>D31*$M$5</f>
        <v>17.399999999999999</v>
      </c>
      <c r="I31" s="80">
        <v>720</v>
      </c>
      <c r="J31" s="82">
        <f t="shared" si="7"/>
        <v>60</v>
      </c>
      <c r="K31" s="104"/>
      <c r="L31">
        <f t="shared" si="8"/>
        <v>720.02666666666664</v>
      </c>
    </row>
    <row r="32" spans="1:12" x14ac:dyDescent="0.25">
      <c r="A32" s="44" t="s">
        <v>45</v>
      </c>
      <c r="B32" s="44">
        <v>3</v>
      </c>
      <c r="C32" s="45">
        <f>929.74-289</f>
        <v>640.74</v>
      </c>
      <c r="D32" s="45">
        <v>690</v>
      </c>
      <c r="E32" s="45">
        <v>254</v>
      </c>
      <c r="F32" s="45">
        <f t="shared" si="9"/>
        <v>28.222222222222221</v>
      </c>
      <c r="G32" s="45"/>
      <c r="H32" s="80">
        <f>D32*$M$5</f>
        <v>20.7</v>
      </c>
      <c r="I32" s="80">
        <v>340</v>
      </c>
      <c r="J32" s="82">
        <f t="shared" si="7"/>
        <v>28.333333333333332</v>
      </c>
      <c r="K32" s="104"/>
      <c r="L32">
        <f t="shared" si="8"/>
        <v>341.20666666666665</v>
      </c>
    </row>
    <row r="33" spans="1:13" x14ac:dyDescent="0.25">
      <c r="A33" s="44" t="s">
        <v>245</v>
      </c>
      <c r="B33" s="44">
        <v>3</v>
      </c>
      <c r="C33" s="45">
        <f>2422.52-501</f>
        <v>1921.52</v>
      </c>
      <c r="D33" s="45">
        <v>640</v>
      </c>
      <c r="E33" s="45">
        <v>467</v>
      </c>
      <c r="F33" s="45">
        <f t="shared" si="9"/>
        <v>51.888888888888886</v>
      </c>
      <c r="G33" s="46"/>
      <c r="H33" s="80">
        <f>D33*$M$5</f>
        <v>19.2</v>
      </c>
      <c r="I33" s="80">
        <v>630</v>
      </c>
      <c r="J33" s="82">
        <f t="shared" si="7"/>
        <v>52.5</v>
      </c>
      <c r="K33" s="104"/>
      <c r="L33">
        <f t="shared" si="8"/>
        <v>627.3366666666667</v>
      </c>
    </row>
    <row r="34" spans="1:13" x14ac:dyDescent="0.25">
      <c r="A34" s="44" t="s">
        <v>46</v>
      </c>
      <c r="B34" s="44">
        <v>3</v>
      </c>
      <c r="C34" s="52">
        <f>877.73+315</f>
        <v>1192.73</v>
      </c>
      <c r="D34" s="52">
        <v>180</v>
      </c>
      <c r="E34" s="52">
        <v>253</v>
      </c>
      <c r="F34" s="52">
        <f>E34/9</f>
        <v>28.111111111111111</v>
      </c>
      <c r="G34" s="45"/>
      <c r="H34" s="83">
        <f>D34*$M$5</f>
        <v>5.3999999999999995</v>
      </c>
      <c r="I34" s="83">
        <v>340</v>
      </c>
      <c r="J34" s="85">
        <f t="shared" si="7"/>
        <v>28.333333333333332</v>
      </c>
      <c r="K34" s="104"/>
      <c r="L34">
        <f t="shared" si="8"/>
        <v>339.86333333333334</v>
      </c>
    </row>
    <row r="35" spans="1:13" x14ac:dyDescent="0.25">
      <c r="A35" s="75" t="s">
        <v>81</v>
      </c>
      <c r="B35" s="44"/>
      <c r="C35" s="45">
        <f>SUM(C24:C34)</f>
        <v>20617.66</v>
      </c>
      <c r="D35" s="45">
        <f>SUM(D24:D34)</f>
        <v>7570</v>
      </c>
      <c r="E35" s="45">
        <f>SUM(E24:E34)</f>
        <v>6113</v>
      </c>
      <c r="F35" s="45">
        <f>SUM(F25:F34)</f>
        <v>679.22222222222217</v>
      </c>
      <c r="G35" s="45"/>
      <c r="H35" s="86">
        <f>SUM(H24:H34)</f>
        <v>77.400000000000006</v>
      </c>
      <c r="I35" s="86">
        <f>SUM(I24:I34)</f>
        <v>8440</v>
      </c>
      <c r="J35" s="88">
        <f>SUM(J24:J34)</f>
        <v>703.33333333333337</v>
      </c>
      <c r="K35" s="104"/>
    </row>
    <row r="36" spans="1:13" x14ac:dyDescent="0.25">
      <c r="A36" s="104"/>
      <c r="B36" s="104"/>
      <c r="C36" s="104"/>
      <c r="D36" s="104"/>
      <c r="E36" s="104"/>
      <c r="F36" s="104"/>
      <c r="G36" s="104"/>
      <c r="H36" s="111"/>
      <c r="I36" s="111"/>
      <c r="J36" s="95"/>
      <c r="K36" s="104"/>
    </row>
    <row r="37" spans="1:13" x14ac:dyDescent="0.25">
      <c r="A37" s="75" t="s">
        <v>450</v>
      </c>
      <c r="B37" s="104"/>
      <c r="C37" s="104"/>
      <c r="D37" s="104"/>
      <c r="E37" s="104"/>
      <c r="F37" s="104"/>
      <c r="G37" s="104"/>
      <c r="H37" s="111"/>
      <c r="I37" s="111"/>
      <c r="J37" s="95"/>
      <c r="K37" s="104"/>
    </row>
    <row r="38" spans="1:13" x14ac:dyDescent="0.25">
      <c r="A38" s="44" t="s">
        <v>286</v>
      </c>
      <c r="B38" s="44">
        <v>3</v>
      </c>
      <c r="C38" s="45">
        <f>2065.91-19</f>
        <v>2046.9099999999999</v>
      </c>
      <c r="D38" s="45">
        <v>610</v>
      </c>
      <c r="E38" s="45">
        <v>490</v>
      </c>
      <c r="F38" s="45">
        <f>E38/9</f>
        <v>54.444444444444443</v>
      </c>
      <c r="G38" s="45"/>
      <c r="H38" s="80">
        <f>D38*$M$38</f>
        <v>0</v>
      </c>
      <c r="I38" s="80">
        <v>660</v>
      </c>
      <c r="J38" s="82">
        <f t="shared" ref="J38:J41" si="10">I38/12</f>
        <v>55</v>
      </c>
      <c r="K38" s="101" t="s">
        <v>501</v>
      </c>
      <c r="L38">
        <f>SUM(E38)+(F38*3)*1.03</f>
        <v>658.23333333333335</v>
      </c>
      <c r="M38" s="34"/>
    </row>
    <row r="39" spans="1:13" x14ac:dyDescent="0.25">
      <c r="A39" s="44" t="s">
        <v>47</v>
      </c>
      <c r="B39" s="44">
        <v>3</v>
      </c>
      <c r="C39" s="45">
        <f>6935.32+7</f>
        <v>6942.32</v>
      </c>
      <c r="D39" s="45">
        <v>2720</v>
      </c>
      <c r="E39" s="45">
        <v>2085</v>
      </c>
      <c r="F39" s="45">
        <f t="shared" ref="F39:F40" si="11">E39/9</f>
        <v>231.66666666666666</v>
      </c>
      <c r="G39" s="45"/>
      <c r="H39" s="80">
        <f>D39*$M$39</f>
        <v>0</v>
      </c>
      <c r="I39" s="80">
        <v>2840</v>
      </c>
      <c r="J39" s="82">
        <f t="shared" si="10"/>
        <v>236.66666666666666</v>
      </c>
      <c r="K39" s="101" t="s">
        <v>610</v>
      </c>
      <c r="L39">
        <f>SUM(E39)+(F39*3)*1.08</f>
        <v>2835.6</v>
      </c>
      <c r="M39" s="25"/>
    </row>
    <row r="40" spans="1:13" x14ac:dyDescent="0.25">
      <c r="A40" s="44" t="s">
        <v>48</v>
      </c>
      <c r="B40" s="44">
        <v>3</v>
      </c>
      <c r="C40" s="45">
        <f>1977.01+573</f>
        <v>2550.0100000000002</v>
      </c>
      <c r="D40" s="45">
        <v>650</v>
      </c>
      <c r="E40" s="45">
        <v>609</v>
      </c>
      <c r="F40" s="45">
        <f t="shared" si="11"/>
        <v>67.666666666666671</v>
      </c>
      <c r="G40" s="45"/>
      <c r="H40" s="80">
        <f>D40*$M$40</f>
        <v>0</v>
      </c>
      <c r="I40" s="80">
        <v>820</v>
      </c>
      <c r="J40" s="82">
        <f t="shared" si="10"/>
        <v>68.333333333333329</v>
      </c>
      <c r="K40" s="101" t="s">
        <v>533</v>
      </c>
      <c r="L40">
        <f t="shared" ref="L40" si="12">SUM(E40)+(F40*3)*1.04</f>
        <v>820.12</v>
      </c>
      <c r="M40" s="31"/>
    </row>
    <row r="41" spans="1:13" x14ac:dyDescent="0.25">
      <c r="A41" s="44" t="s">
        <v>49</v>
      </c>
      <c r="B41" s="44">
        <v>3</v>
      </c>
      <c r="C41" s="52">
        <f>3529.92+871</f>
        <v>4400.92</v>
      </c>
      <c r="D41" s="52">
        <v>1690</v>
      </c>
      <c r="E41" s="52">
        <v>1498</v>
      </c>
      <c r="F41" s="52">
        <f>E41/9</f>
        <v>166.44444444444446</v>
      </c>
      <c r="G41" s="46"/>
      <c r="H41" s="83">
        <f>D41*$M$41</f>
        <v>0</v>
      </c>
      <c r="I41" s="83">
        <v>2030</v>
      </c>
      <c r="J41" s="85">
        <f t="shared" si="10"/>
        <v>169.16666666666666</v>
      </c>
      <c r="K41" s="101" t="s">
        <v>585</v>
      </c>
      <c r="L41">
        <f>SUM(E41)+(F41*3)*1.05</f>
        <v>2022.3000000000002</v>
      </c>
      <c r="M41" s="31"/>
    </row>
    <row r="42" spans="1:13" x14ac:dyDescent="0.25">
      <c r="A42" s="75" t="s">
        <v>82</v>
      </c>
      <c r="B42" s="44"/>
      <c r="C42" s="45">
        <f>SUM(C38:C41)</f>
        <v>15940.16</v>
      </c>
      <c r="D42" s="45">
        <f>SUM(D38:D41)</f>
        <v>5670</v>
      </c>
      <c r="E42" s="45">
        <f>SUM(E38:E41)</f>
        <v>4682</v>
      </c>
      <c r="F42" s="45">
        <f>SUM(F38:F41)</f>
        <v>520.22222222222217</v>
      </c>
      <c r="G42" s="45"/>
      <c r="H42" s="86">
        <f>SUM(H38:H41)</f>
        <v>0</v>
      </c>
      <c r="I42" s="86">
        <f t="shared" ref="I42:J42" si="13">SUM(I38:I41)</f>
        <v>6350</v>
      </c>
      <c r="J42" s="88">
        <f t="shared" si="13"/>
        <v>529.16666666666663</v>
      </c>
      <c r="K42" s="104"/>
    </row>
    <row r="43" spans="1:13" x14ac:dyDescent="0.25">
      <c r="A43" s="75"/>
      <c r="B43" s="44"/>
      <c r="C43" s="45"/>
      <c r="D43" s="45"/>
      <c r="E43" s="45"/>
      <c r="F43" s="45"/>
      <c r="G43" s="45"/>
      <c r="H43" s="86"/>
      <c r="I43" s="86"/>
      <c r="J43" s="88"/>
      <c r="K43" s="104"/>
    </row>
    <row r="44" spans="1:13" x14ac:dyDescent="0.25">
      <c r="A44" s="75" t="s">
        <v>451</v>
      </c>
      <c r="B44" s="44"/>
      <c r="C44" s="45"/>
      <c r="D44" s="45"/>
      <c r="E44" s="45"/>
      <c r="F44" s="45"/>
      <c r="G44" s="45"/>
      <c r="H44" s="86"/>
      <c r="I44" s="86"/>
      <c r="J44" s="88"/>
      <c r="K44" s="104"/>
    </row>
    <row r="45" spans="1:13" x14ac:dyDescent="0.25">
      <c r="A45" s="44" t="s">
        <v>51</v>
      </c>
      <c r="B45" s="44">
        <v>3</v>
      </c>
      <c r="C45" s="45">
        <f>551.34-201</f>
        <v>350.34000000000003</v>
      </c>
      <c r="D45" s="45">
        <v>570</v>
      </c>
      <c r="E45" s="45">
        <v>862</v>
      </c>
      <c r="F45" s="45">
        <f>E45/9</f>
        <v>95.777777777777771</v>
      </c>
      <c r="G45" s="45"/>
      <c r="H45" s="80">
        <f t="shared" ref="H45:H55" si="14">D45*$M$5</f>
        <v>17.099999999999998</v>
      </c>
      <c r="I45" s="80">
        <v>1160</v>
      </c>
      <c r="J45" s="82">
        <f t="shared" ref="J45:J55" si="15">I45/12</f>
        <v>96.666666666666671</v>
      </c>
      <c r="K45" s="104"/>
      <c r="L45">
        <f>SUM(E45)+(F45*3)*1.03</f>
        <v>1157.9533333333334</v>
      </c>
    </row>
    <row r="46" spans="1:13" x14ac:dyDescent="0.25">
      <c r="A46" s="44" t="s">
        <v>52</v>
      </c>
      <c r="B46" s="44">
        <v>3</v>
      </c>
      <c r="C46" s="45">
        <f>2588.33+1663</f>
        <v>4251.33</v>
      </c>
      <c r="D46" s="45">
        <v>900</v>
      </c>
      <c r="E46" s="45">
        <v>394</v>
      </c>
      <c r="F46" s="45">
        <f t="shared" ref="F46:F53" si="16">E46/9</f>
        <v>43.777777777777779</v>
      </c>
      <c r="G46" s="45"/>
      <c r="H46" s="80">
        <f t="shared" si="14"/>
        <v>27</v>
      </c>
      <c r="I46" s="80">
        <v>530</v>
      </c>
      <c r="J46" s="82">
        <f t="shared" si="15"/>
        <v>44.166666666666664</v>
      </c>
      <c r="K46" s="104"/>
      <c r="L46">
        <f t="shared" ref="L46:L54" si="17">SUM(E46)+(F46*3)*1.03</f>
        <v>529.27333333333331</v>
      </c>
    </row>
    <row r="47" spans="1:13" x14ac:dyDescent="0.25">
      <c r="A47" s="44" t="s">
        <v>53</v>
      </c>
      <c r="B47" s="44">
        <v>3</v>
      </c>
      <c r="C47" s="45">
        <f>3054.81+616</f>
        <v>3670.81</v>
      </c>
      <c r="D47" s="45">
        <v>1270</v>
      </c>
      <c r="E47" s="45">
        <v>880</v>
      </c>
      <c r="F47" s="45">
        <f t="shared" si="16"/>
        <v>97.777777777777771</v>
      </c>
      <c r="G47" s="45"/>
      <c r="H47" s="80">
        <f t="shared" si="14"/>
        <v>38.1</v>
      </c>
      <c r="I47" s="80">
        <v>1190</v>
      </c>
      <c r="J47" s="82">
        <f t="shared" si="15"/>
        <v>99.166666666666671</v>
      </c>
      <c r="K47" s="101" t="s">
        <v>542</v>
      </c>
      <c r="L47">
        <f>SUM(E47)+(F47*3)*1.04</f>
        <v>1185.0666666666666</v>
      </c>
    </row>
    <row r="48" spans="1:13" x14ac:dyDescent="0.25">
      <c r="A48" s="44" t="s">
        <v>54</v>
      </c>
      <c r="B48" s="44">
        <v>3</v>
      </c>
      <c r="C48" s="45">
        <f>5542.5-1290</f>
        <v>4252.5</v>
      </c>
      <c r="D48" s="45">
        <v>1420</v>
      </c>
      <c r="E48" s="45">
        <v>4585</v>
      </c>
      <c r="F48" s="45">
        <f t="shared" si="16"/>
        <v>509.44444444444446</v>
      </c>
      <c r="G48" s="45"/>
      <c r="H48" s="80">
        <f t="shared" si="14"/>
        <v>42.6</v>
      </c>
      <c r="I48" s="80">
        <f>6160</f>
        <v>6160</v>
      </c>
      <c r="J48" s="82">
        <f t="shared" si="15"/>
        <v>513.33333333333337</v>
      </c>
      <c r="K48" s="101" t="s">
        <v>607</v>
      </c>
      <c r="L48">
        <f t="shared" si="17"/>
        <v>6159.1833333333334</v>
      </c>
    </row>
    <row r="49" spans="1:18" x14ac:dyDescent="0.25">
      <c r="A49" s="44" t="s">
        <v>248</v>
      </c>
      <c r="B49" s="44">
        <v>3</v>
      </c>
      <c r="C49" s="45">
        <f>11690.24-1525</f>
        <v>10165.24</v>
      </c>
      <c r="D49" s="45">
        <v>3650</v>
      </c>
      <c r="E49" s="45">
        <v>7065</v>
      </c>
      <c r="F49" s="45">
        <f t="shared" si="16"/>
        <v>785</v>
      </c>
      <c r="G49" s="45"/>
      <c r="H49" s="80">
        <f t="shared" si="14"/>
        <v>109.5</v>
      </c>
      <c r="I49" s="80">
        <v>9490</v>
      </c>
      <c r="J49" s="82">
        <f t="shared" si="15"/>
        <v>790.83333333333337</v>
      </c>
      <c r="K49" s="104"/>
      <c r="L49">
        <f t="shared" si="17"/>
        <v>9490.65</v>
      </c>
    </row>
    <row r="50" spans="1:18" x14ac:dyDescent="0.25">
      <c r="A50" s="44" t="s">
        <v>55</v>
      </c>
      <c r="B50" s="44">
        <v>3</v>
      </c>
      <c r="C50" s="45">
        <f>19978.36+498</f>
        <v>20476.36</v>
      </c>
      <c r="D50" s="45">
        <v>7770</v>
      </c>
      <c r="E50" s="45">
        <v>25537</v>
      </c>
      <c r="F50" s="45">
        <f t="shared" si="16"/>
        <v>2837.4444444444443</v>
      </c>
      <c r="G50" s="45"/>
      <c r="H50" s="80">
        <f t="shared" si="14"/>
        <v>233.1</v>
      </c>
      <c r="I50" s="80">
        <v>9000</v>
      </c>
      <c r="J50" s="82">
        <f t="shared" si="15"/>
        <v>750</v>
      </c>
      <c r="K50" s="101" t="s">
        <v>587</v>
      </c>
      <c r="L50">
        <f t="shared" si="17"/>
        <v>34304.703333333331</v>
      </c>
    </row>
    <row r="51" spans="1:18" x14ac:dyDescent="0.25">
      <c r="A51" s="44" t="s">
        <v>496</v>
      </c>
      <c r="B51" s="44"/>
      <c r="C51" s="118"/>
      <c r="D51" s="45">
        <v>1070</v>
      </c>
      <c r="E51" s="46">
        <v>2409</v>
      </c>
      <c r="F51" s="46">
        <f t="shared" si="16"/>
        <v>267.66666666666669</v>
      </c>
      <c r="G51" s="81"/>
      <c r="H51" s="81"/>
      <c r="I51" s="57">
        <v>3240</v>
      </c>
      <c r="J51" s="58">
        <f t="shared" si="15"/>
        <v>270</v>
      </c>
      <c r="K51" s="101"/>
      <c r="L51">
        <f t="shared" si="17"/>
        <v>3236.09</v>
      </c>
      <c r="M51" s="104"/>
      <c r="N51" s="104"/>
      <c r="O51" s="104"/>
      <c r="P51" s="104"/>
      <c r="Q51" s="104"/>
      <c r="R51" s="104"/>
    </row>
    <row r="52" spans="1:18" x14ac:dyDescent="0.25">
      <c r="A52" s="44" t="s">
        <v>497</v>
      </c>
      <c r="B52" s="44"/>
      <c r="C52" s="118"/>
      <c r="D52" s="45">
        <v>2100</v>
      </c>
      <c r="E52" s="46">
        <v>982</v>
      </c>
      <c r="F52" s="46">
        <f t="shared" si="16"/>
        <v>109.11111111111111</v>
      </c>
      <c r="G52" s="81"/>
      <c r="H52" s="81"/>
      <c r="I52" s="57">
        <v>1320</v>
      </c>
      <c r="J52" s="58">
        <f t="shared" si="15"/>
        <v>110</v>
      </c>
      <c r="K52" s="101"/>
      <c r="L52">
        <f t="shared" si="17"/>
        <v>1319.1533333333334</v>
      </c>
      <c r="M52" s="104"/>
      <c r="N52" s="104"/>
      <c r="O52" s="104"/>
      <c r="P52" s="104"/>
      <c r="Q52" s="104"/>
      <c r="R52" s="104"/>
    </row>
    <row r="53" spans="1:18" x14ac:dyDescent="0.25">
      <c r="A53" s="44" t="s">
        <v>56</v>
      </c>
      <c r="B53" s="44">
        <v>3</v>
      </c>
      <c r="C53" s="45">
        <f>13564.66+415</f>
        <v>13979.66</v>
      </c>
      <c r="D53" s="45">
        <v>2970</v>
      </c>
      <c r="E53" s="45">
        <v>2720</v>
      </c>
      <c r="F53" s="45">
        <f t="shared" si="16"/>
        <v>302.22222222222223</v>
      </c>
      <c r="G53" s="46"/>
      <c r="H53" s="80">
        <f t="shared" si="14"/>
        <v>89.1</v>
      </c>
      <c r="I53" s="80">
        <v>3650</v>
      </c>
      <c r="J53" s="82">
        <f t="shared" si="15"/>
        <v>304.16666666666669</v>
      </c>
      <c r="K53" s="104"/>
      <c r="L53">
        <f t="shared" si="17"/>
        <v>3653.8666666666668</v>
      </c>
    </row>
    <row r="54" spans="1:18" x14ac:dyDescent="0.25">
      <c r="A54" s="44" t="s">
        <v>57</v>
      </c>
      <c r="B54" s="44">
        <v>3</v>
      </c>
      <c r="C54" s="52">
        <f>6807.51-1535</f>
        <v>5272.51</v>
      </c>
      <c r="D54" s="52">
        <v>2066</v>
      </c>
      <c r="E54" s="52">
        <v>995</v>
      </c>
      <c r="F54" s="52">
        <f>E54/9</f>
        <v>110.55555555555556</v>
      </c>
      <c r="G54" s="45"/>
      <c r="H54" s="83">
        <f t="shared" si="14"/>
        <v>61.98</v>
      </c>
      <c r="I54" s="83">
        <v>1830</v>
      </c>
      <c r="J54" s="85">
        <f t="shared" si="15"/>
        <v>152.5</v>
      </c>
      <c r="K54" s="101" t="s">
        <v>600</v>
      </c>
      <c r="L54">
        <f t="shared" si="17"/>
        <v>1336.6166666666668</v>
      </c>
    </row>
    <row r="55" spans="1:18" x14ac:dyDescent="0.25">
      <c r="A55" s="75" t="s">
        <v>84</v>
      </c>
      <c r="B55" s="44"/>
      <c r="C55" s="45">
        <f>SUM(C45:C54)</f>
        <v>62418.750000000007</v>
      </c>
      <c r="D55" s="45">
        <f>SUM(D45:D54)</f>
        <v>23786</v>
      </c>
      <c r="E55" s="45">
        <f>SUM(E45:E54)</f>
        <v>46429</v>
      </c>
      <c r="F55" s="45">
        <f>SUM(F45:F54)</f>
        <v>5158.7777777777792</v>
      </c>
      <c r="G55" s="45"/>
      <c r="H55" s="90">
        <f t="shared" si="14"/>
        <v>713.57999999999993</v>
      </c>
      <c r="I55" s="86">
        <f>SUM(I45:I54)</f>
        <v>37570</v>
      </c>
      <c r="J55" s="88">
        <f t="shared" si="15"/>
        <v>3130.8333333333335</v>
      </c>
      <c r="K55" s="104"/>
    </row>
    <row r="56" spans="1:18" x14ac:dyDescent="0.25">
      <c r="A56" s="44"/>
      <c r="B56" s="44"/>
      <c r="C56" s="59"/>
      <c r="D56" s="59"/>
      <c r="E56" s="59"/>
      <c r="F56" s="59"/>
      <c r="G56" s="59"/>
      <c r="H56" s="86"/>
      <c r="I56" s="80"/>
      <c r="J56" s="89"/>
      <c r="K56" s="117"/>
    </row>
    <row r="57" spans="1:18" x14ac:dyDescent="0.25">
      <c r="A57" s="75" t="s">
        <v>452</v>
      </c>
      <c r="B57" s="44"/>
      <c r="C57" s="59"/>
      <c r="D57" s="59"/>
      <c r="E57" s="59"/>
      <c r="F57" s="59"/>
      <c r="G57" s="59"/>
      <c r="H57" s="86"/>
      <c r="I57" s="80"/>
      <c r="J57" s="89"/>
      <c r="K57" s="117"/>
    </row>
    <row r="58" spans="1:18" x14ac:dyDescent="0.25">
      <c r="A58" s="44" t="s">
        <v>42</v>
      </c>
      <c r="B58" s="44">
        <v>3</v>
      </c>
      <c r="C58" s="45">
        <f>35.543-7</f>
        <v>28.542999999999999</v>
      </c>
      <c r="D58" s="45">
        <v>230</v>
      </c>
      <c r="E58" s="45">
        <v>23</v>
      </c>
      <c r="F58" s="45">
        <f>E58/9</f>
        <v>2.5555555555555554</v>
      </c>
      <c r="G58" s="45"/>
      <c r="H58" s="80">
        <v>0</v>
      </c>
      <c r="I58" s="80">
        <v>280</v>
      </c>
      <c r="J58" s="82">
        <f t="shared" ref="J58:J65" si="18">I58/12</f>
        <v>23.333333333333332</v>
      </c>
      <c r="K58" s="101" t="s">
        <v>425</v>
      </c>
      <c r="L58">
        <f>I53*7.65%</f>
        <v>279.22500000000002</v>
      </c>
      <c r="M58" s="34">
        <v>7.6499999999999999E-2</v>
      </c>
    </row>
    <row r="59" spans="1:18" x14ac:dyDescent="0.25">
      <c r="A59" s="44" t="s">
        <v>251</v>
      </c>
      <c r="B59" s="44">
        <v>3</v>
      </c>
      <c r="C59" s="45">
        <f>34804.26+9623</f>
        <v>44427.26</v>
      </c>
      <c r="D59" s="45">
        <v>13470</v>
      </c>
      <c r="E59" s="45">
        <v>14138</v>
      </c>
      <c r="F59" s="45">
        <f t="shared" ref="F59:F63" si="19">E59/9</f>
        <v>1570.8888888888889</v>
      </c>
      <c r="G59" s="45"/>
      <c r="H59" s="80">
        <f>D59*$M$59</f>
        <v>673.5</v>
      </c>
      <c r="I59" s="80">
        <f>70+14140</f>
        <v>14210</v>
      </c>
      <c r="J59" s="82">
        <f t="shared" si="18"/>
        <v>1184.1666666666667</v>
      </c>
      <c r="K59" s="101" t="s">
        <v>422</v>
      </c>
      <c r="L59">
        <f>SUM(E59)+(F59*3)*1.05</f>
        <v>19086.3</v>
      </c>
      <c r="M59" s="31">
        <v>0.05</v>
      </c>
    </row>
    <row r="60" spans="1:18" x14ac:dyDescent="0.25">
      <c r="A60" s="44" t="s">
        <v>59</v>
      </c>
      <c r="B60" s="44">
        <v>3</v>
      </c>
      <c r="C60" s="45">
        <f>1616.46+1453</f>
        <v>3069.46</v>
      </c>
      <c r="D60" s="45">
        <v>890</v>
      </c>
      <c r="E60" s="45">
        <v>72</v>
      </c>
      <c r="F60" s="45">
        <f t="shared" si="19"/>
        <v>8</v>
      </c>
      <c r="G60" s="45"/>
      <c r="H60" s="80">
        <v>0</v>
      </c>
      <c r="I60" s="80">
        <v>1100</v>
      </c>
      <c r="J60" s="82">
        <f t="shared" si="18"/>
        <v>91.666666666666671</v>
      </c>
      <c r="K60" s="101" t="s">
        <v>502</v>
      </c>
      <c r="L60">
        <f>$I$53*30%</f>
        <v>1095</v>
      </c>
      <c r="M60" s="31">
        <v>0.3</v>
      </c>
    </row>
    <row r="61" spans="1:18" x14ac:dyDescent="0.25">
      <c r="A61" s="44" t="s">
        <v>287</v>
      </c>
      <c r="B61" s="44">
        <v>3</v>
      </c>
      <c r="C61" s="45">
        <f>278.8+12</f>
        <v>290.8</v>
      </c>
      <c r="D61" s="45">
        <v>500</v>
      </c>
      <c r="E61" s="45">
        <v>595</v>
      </c>
      <c r="F61" s="45">
        <f t="shared" si="19"/>
        <v>66.111111111111114</v>
      </c>
      <c r="G61" s="45"/>
      <c r="H61" s="80">
        <f>D61*$M$5</f>
        <v>15</v>
      </c>
      <c r="I61" s="80">
        <v>110</v>
      </c>
      <c r="J61" s="82">
        <f t="shared" si="18"/>
        <v>9.1666666666666661</v>
      </c>
      <c r="K61" s="101" t="s">
        <v>543</v>
      </c>
      <c r="L61">
        <f>$I$53*3%</f>
        <v>109.5</v>
      </c>
    </row>
    <row r="62" spans="1:18" x14ac:dyDescent="0.25">
      <c r="A62" s="44" t="s">
        <v>61</v>
      </c>
      <c r="B62" s="44">
        <v>3</v>
      </c>
      <c r="C62" s="45">
        <f>725.33+731</f>
        <v>1456.33</v>
      </c>
      <c r="D62" s="45">
        <v>500</v>
      </c>
      <c r="E62" s="45">
        <v>1099</v>
      </c>
      <c r="F62" s="45">
        <f t="shared" si="19"/>
        <v>122.11111111111111</v>
      </c>
      <c r="G62" s="46"/>
      <c r="H62" s="80">
        <f>D62*$M$5</f>
        <v>15</v>
      </c>
      <c r="I62" s="80">
        <v>1480</v>
      </c>
      <c r="J62" s="82">
        <f t="shared" si="18"/>
        <v>123.33333333333333</v>
      </c>
      <c r="K62" s="104"/>
      <c r="L62">
        <f t="shared" ref="L62:L63" si="20">SUM(E62)+(F62*3)*1.03</f>
        <v>1476.3233333333333</v>
      </c>
    </row>
    <row r="63" spans="1:18" x14ac:dyDescent="0.25">
      <c r="A63" s="44" t="s">
        <v>70</v>
      </c>
      <c r="B63" s="44"/>
      <c r="C63" s="45"/>
      <c r="D63" s="45">
        <v>30</v>
      </c>
      <c r="E63" s="45">
        <v>916</v>
      </c>
      <c r="F63" s="45">
        <f t="shared" si="19"/>
        <v>101.77777777777777</v>
      </c>
      <c r="G63" s="46"/>
      <c r="H63" s="80"/>
      <c r="I63" s="80">
        <v>1230</v>
      </c>
      <c r="J63" s="82">
        <f t="shared" si="18"/>
        <v>102.5</v>
      </c>
      <c r="K63" s="104"/>
      <c r="L63">
        <f t="shared" si="20"/>
        <v>1230.4933333333333</v>
      </c>
    </row>
    <row r="64" spans="1:18" x14ac:dyDescent="0.25">
      <c r="A64" s="44" t="s">
        <v>62</v>
      </c>
      <c r="B64" s="44">
        <v>3</v>
      </c>
      <c r="C64" s="52">
        <f>71563.92+2562</f>
        <v>74125.919999999998</v>
      </c>
      <c r="D64" s="52">
        <v>27850</v>
      </c>
      <c r="E64" s="52">
        <v>21166</v>
      </c>
      <c r="F64" s="52">
        <f>E64/9</f>
        <v>2351.7777777777778</v>
      </c>
      <c r="G64" s="45"/>
      <c r="H64" s="83">
        <v>0</v>
      </c>
      <c r="I64" s="83">
        <v>28220</v>
      </c>
      <c r="J64" s="85">
        <f t="shared" si="18"/>
        <v>2351.6666666666665</v>
      </c>
      <c r="K64" s="104"/>
    </row>
    <row r="65" spans="1:11" x14ac:dyDescent="0.25">
      <c r="A65" s="75" t="s">
        <v>85</v>
      </c>
      <c r="B65" s="44"/>
      <c r="C65" s="45">
        <f>SUM(C56:C64)</f>
        <v>123398.31299999999</v>
      </c>
      <c r="D65" s="45">
        <f>SUM(D56:D64)</f>
        <v>43470</v>
      </c>
      <c r="E65" s="45">
        <f>SUM(E56:E64)</f>
        <v>38009</v>
      </c>
      <c r="F65" s="45">
        <f>SUM(F58:F64)</f>
        <v>4223.2222222222226</v>
      </c>
      <c r="G65" s="45"/>
      <c r="H65" s="86">
        <f>D65*$M$5</f>
        <v>1304.0999999999999</v>
      </c>
      <c r="I65" s="86">
        <f>SUM(I58:I64)</f>
        <v>46630</v>
      </c>
      <c r="J65" s="88">
        <f t="shared" si="18"/>
        <v>3885.8333333333335</v>
      </c>
      <c r="K65" s="104"/>
    </row>
    <row r="66" spans="1:11" x14ac:dyDescent="0.25">
      <c r="A66" s="75"/>
      <c r="B66" s="44"/>
      <c r="C66" s="45"/>
      <c r="D66" s="45"/>
      <c r="E66" s="45"/>
      <c r="F66" s="45"/>
      <c r="G66" s="45"/>
      <c r="H66" s="86"/>
      <c r="I66" s="86"/>
      <c r="J66" s="88"/>
      <c r="K66" s="104"/>
    </row>
    <row r="67" spans="1:11" x14ac:dyDescent="0.25">
      <c r="A67" s="75" t="s">
        <v>454</v>
      </c>
      <c r="B67" s="44"/>
      <c r="C67" s="45"/>
      <c r="D67" s="45"/>
      <c r="E67" s="45"/>
      <c r="F67" s="45"/>
      <c r="G67" s="45"/>
      <c r="H67" s="86"/>
      <c r="I67" s="86"/>
      <c r="J67" s="88"/>
      <c r="K67" s="104"/>
    </row>
    <row r="68" spans="1:11" x14ac:dyDescent="0.25">
      <c r="A68" s="44" t="s">
        <v>288</v>
      </c>
      <c r="B68" s="44">
        <v>3</v>
      </c>
      <c r="C68" s="45">
        <f>66665.14-19917</f>
        <v>46748.14</v>
      </c>
      <c r="D68" s="45">
        <v>13840</v>
      </c>
      <c r="E68" s="45">
        <v>11692</v>
      </c>
      <c r="F68" s="45">
        <f>E68/9</f>
        <v>1299.1111111111111</v>
      </c>
      <c r="G68" s="45"/>
      <c r="H68" s="80">
        <v>0</v>
      </c>
      <c r="I68" s="80">
        <v>11500</v>
      </c>
      <c r="J68" s="82">
        <f>I68/12</f>
        <v>958.33333333333337</v>
      </c>
      <c r="K68" s="101" t="s">
        <v>507</v>
      </c>
    </row>
    <row r="69" spans="1:11" x14ac:dyDescent="0.25">
      <c r="A69" s="44" t="s">
        <v>289</v>
      </c>
      <c r="B69" s="44">
        <v>3</v>
      </c>
      <c r="C69" s="118">
        <f>114545.25+8367</f>
        <v>122912.25</v>
      </c>
      <c r="D69" s="52">
        <v>44400</v>
      </c>
      <c r="E69" s="52">
        <v>36847</v>
      </c>
      <c r="F69" s="52">
        <f>E69/9</f>
        <v>4094.1111111111113</v>
      </c>
      <c r="G69" s="46"/>
      <c r="H69" s="83">
        <v>0</v>
      </c>
      <c r="I69" s="83">
        <v>46740</v>
      </c>
      <c r="J69" s="85">
        <f>I69/12</f>
        <v>3895</v>
      </c>
      <c r="K69" s="101" t="s">
        <v>507</v>
      </c>
    </row>
    <row r="70" spans="1:11" x14ac:dyDescent="0.25">
      <c r="A70" s="75" t="s">
        <v>308</v>
      </c>
      <c r="B70" s="44"/>
      <c r="C70" s="45">
        <f>SUM(C68:C69)</f>
        <v>169660.39</v>
      </c>
      <c r="D70" s="45">
        <f t="shared" ref="D70:J70" si="21">SUM(D68:D69)</f>
        <v>58240</v>
      </c>
      <c r="E70" s="45">
        <f t="shared" si="21"/>
        <v>48539</v>
      </c>
      <c r="F70" s="45">
        <f>SUM(F68:F69)</f>
        <v>5393.2222222222226</v>
      </c>
      <c r="G70" s="45"/>
      <c r="H70" s="115">
        <f t="shared" si="21"/>
        <v>0</v>
      </c>
      <c r="I70" s="115">
        <f t="shared" si="21"/>
        <v>58240</v>
      </c>
      <c r="J70" s="116">
        <f t="shared" si="21"/>
        <v>4853.333333333333</v>
      </c>
      <c r="K70" s="104"/>
    </row>
    <row r="71" spans="1:11" x14ac:dyDescent="0.25">
      <c r="A71" s="75"/>
      <c r="B71" s="44"/>
      <c r="C71" s="59"/>
      <c r="D71" s="59"/>
      <c r="E71" s="59"/>
      <c r="F71" s="59"/>
      <c r="G71" s="59"/>
      <c r="H71" s="86"/>
      <c r="I71" s="80"/>
      <c r="J71" s="89"/>
      <c r="K71" s="104"/>
    </row>
    <row r="72" spans="1:11" x14ac:dyDescent="0.25">
      <c r="A72" s="75" t="s">
        <v>78</v>
      </c>
      <c r="B72" s="44"/>
      <c r="C72" s="59"/>
      <c r="D72" s="59"/>
      <c r="E72" s="59"/>
      <c r="F72" s="59"/>
      <c r="G72" s="59"/>
      <c r="H72" s="86"/>
      <c r="I72" s="80"/>
      <c r="J72" s="89"/>
      <c r="K72" s="104"/>
    </row>
    <row r="73" spans="1:11" x14ac:dyDescent="0.25">
      <c r="A73" s="44" t="s">
        <v>63</v>
      </c>
      <c r="B73" s="44">
        <v>3</v>
      </c>
      <c r="C73" s="119">
        <f>11212.5-538</f>
        <v>10674.5</v>
      </c>
      <c r="D73" s="52">
        <v>3600</v>
      </c>
      <c r="E73" s="52">
        <v>2812</v>
      </c>
      <c r="F73" s="52">
        <f>E73/9</f>
        <v>312.44444444444446</v>
      </c>
      <c r="G73" s="46"/>
      <c r="H73" s="83">
        <v>0</v>
      </c>
      <c r="I73" s="83">
        <f t="shared" ref="I73" si="22">D73+H73</f>
        <v>3600</v>
      </c>
      <c r="J73" s="85">
        <f t="shared" ref="J73" si="23">I73/12</f>
        <v>300</v>
      </c>
      <c r="K73" s="104"/>
    </row>
    <row r="74" spans="1:11" x14ac:dyDescent="0.25">
      <c r="A74" s="75" t="s">
        <v>86</v>
      </c>
      <c r="B74" s="44"/>
      <c r="C74" s="45">
        <f>SUM(C73)</f>
        <v>10674.5</v>
      </c>
      <c r="D74" s="45">
        <f t="shared" ref="D74:J74" si="24">SUM(D73)</f>
        <v>3600</v>
      </c>
      <c r="E74" s="45">
        <f t="shared" si="24"/>
        <v>2812</v>
      </c>
      <c r="F74" s="45">
        <f>SUM(F73)</f>
        <v>312.44444444444446</v>
      </c>
      <c r="G74" s="45"/>
      <c r="H74" s="80">
        <f t="shared" si="24"/>
        <v>0</v>
      </c>
      <c r="I74" s="80">
        <f t="shared" si="24"/>
        <v>3600</v>
      </c>
      <c r="J74" s="82">
        <f t="shared" si="24"/>
        <v>300</v>
      </c>
      <c r="K74" s="104"/>
    </row>
    <row r="75" spans="1:11" x14ac:dyDescent="0.25">
      <c r="A75" s="44"/>
      <c r="B75" s="44"/>
      <c r="C75" s="44"/>
      <c r="D75" s="44"/>
      <c r="E75" s="44"/>
      <c r="F75" s="44"/>
      <c r="G75" s="44"/>
      <c r="H75" s="93"/>
      <c r="I75" s="93"/>
      <c r="J75" s="95"/>
      <c r="K75" s="104"/>
    </row>
    <row r="76" spans="1:11" hidden="1" x14ac:dyDescent="0.25">
      <c r="A76" s="44" t="s">
        <v>290</v>
      </c>
      <c r="B76" s="44">
        <v>3</v>
      </c>
      <c r="C76" s="45">
        <v>0</v>
      </c>
      <c r="D76" s="45">
        <f t="shared" ref="D76:D84" si="25">C76/3</f>
        <v>0</v>
      </c>
      <c r="E76" s="45">
        <f t="shared" ref="E76:E84" si="26">D76/12</f>
        <v>0</v>
      </c>
      <c r="F76" s="45">
        <f t="shared" ref="F76:F84" si="27">E76/9</f>
        <v>0</v>
      </c>
      <c r="G76" s="45"/>
      <c r="H76" s="80">
        <f t="shared" ref="H76:H84" si="28">D76*$M$5</f>
        <v>0</v>
      </c>
      <c r="I76" s="80">
        <f t="shared" ref="I76:I84" si="29">D76+H76</f>
        <v>0</v>
      </c>
      <c r="J76" s="116">
        <f t="shared" ref="J76:J85" si="30">I76/12</f>
        <v>0</v>
      </c>
      <c r="K76" s="104"/>
    </row>
    <row r="77" spans="1:11" x14ac:dyDescent="0.25">
      <c r="A77" s="75" t="s">
        <v>453</v>
      </c>
      <c r="B77" s="44"/>
      <c r="C77" s="45"/>
      <c r="D77" s="45"/>
      <c r="E77" s="45"/>
      <c r="F77" s="45"/>
      <c r="G77" s="45"/>
      <c r="H77" s="80"/>
      <c r="I77" s="80"/>
      <c r="J77" s="116"/>
      <c r="K77" s="104"/>
    </row>
    <row r="78" spans="1:11" hidden="1" x14ac:dyDescent="0.25">
      <c r="A78" s="44" t="s">
        <v>291</v>
      </c>
      <c r="B78" s="44">
        <v>3</v>
      </c>
      <c r="C78" s="45">
        <v>0</v>
      </c>
      <c r="D78" s="45">
        <v>0</v>
      </c>
      <c r="E78" s="45">
        <v>0</v>
      </c>
      <c r="F78" s="45">
        <f>E78/9*12</f>
        <v>0</v>
      </c>
      <c r="G78" s="45"/>
      <c r="H78" s="80">
        <v>0</v>
      </c>
      <c r="I78" s="80">
        <v>0</v>
      </c>
      <c r="J78" s="116">
        <f t="shared" si="30"/>
        <v>0</v>
      </c>
      <c r="K78" s="104"/>
    </row>
    <row r="79" spans="1:11" x14ac:dyDescent="0.25">
      <c r="A79" s="44" t="s">
        <v>25</v>
      </c>
      <c r="B79" s="44">
        <v>3</v>
      </c>
      <c r="C79" s="45">
        <v>0</v>
      </c>
      <c r="D79" s="45">
        <v>12000</v>
      </c>
      <c r="E79" s="45">
        <v>0</v>
      </c>
      <c r="F79" s="45">
        <f t="shared" ref="F79:F81" si="31">E79/9*12</f>
        <v>0</v>
      </c>
      <c r="G79" s="45"/>
      <c r="H79" s="80">
        <v>0</v>
      </c>
      <c r="I79" s="80">
        <v>0</v>
      </c>
      <c r="J79" s="116">
        <f t="shared" si="30"/>
        <v>0</v>
      </c>
      <c r="K79" s="101" t="s">
        <v>559</v>
      </c>
    </row>
    <row r="80" spans="1:11" x14ac:dyDescent="0.25">
      <c r="A80" s="44" t="s">
        <v>292</v>
      </c>
      <c r="B80" s="44">
        <v>3</v>
      </c>
      <c r="C80" s="45">
        <f>27100+16</f>
        <v>27116</v>
      </c>
      <c r="D80" s="52">
        <v>0</v>
      </c>
      <c r="E80" s="52">
        <v>6377</v>
      </c>
      <c r="F80" s="52">
        <f t="shared" si="31"/>
        <v>8502.6666666666661</v>
      </c>
      <c r="G80" s="52"/>
      <c r="H80" s="83">
        <v>0</v>
      </c>
      <c r="I80" s="83">
        <v>1800</v>
      </c>
      <c r="J80" s="120">
        <f t="shared" si="30"/>
        <v>150</v>
      </c>
      <c r="K80" s="101" t="s">
        <v>558</v>
      </c>
    </row>
    <row r="81" spans="1:11" hidden="1" x14ac:dyDescent="0.25">
      <c r="A81" s="44" t="s">
        <v>293</v>
      </c>
      <c r="B81" s="44">
        <v>3</v>
      </c>
      <c r="C81" s="45">
        <v>757</v>
      </c>
      <c r="D81" s="45">
        <v>0</v>
      </c>
      <c r="E81" s="45">
        <v>0</v>
      </c>
      <c r="F81" s="45">
        <f t="shared" si="31"/>
        <v>0</v>
      </c>
      <c r="G81" s="45"/>
      <c r="H81" s="80">
        <v>0</v>
      </c>
      <c r="I81" s="80">
        <v>0</v>
      </c>
      <c r="J81" s="116">
        <f t="shared" si="30"/>
        <v>0</v>
      </c>
      <c r="K81" s="101"/>
    </row>
    <row r="82" spans="1:11" hidden="1" x14ac:dyDescent="0.25">
      <c r="A82" s="44" t="s">
        <v>64</v>
      </c>
      <c r="B82" s="44">
        <v>3</v>
      </c>
      <c r="C82" s="45">
        <v>0</v>
      </c>
      <c r="D82" s="45">
        <v>0</v>
      </c>
      <c r="E82" s="45">
        <f t="shared" si="26"/>
        <v>0</v>
      </c>
      <c r="F82" s="45">
        <f t="shared" si="27"/>
        <v>0</v>
      </c>
      <c r="G82" s="45"/>
      <c r="H82" s="80">
        <f t="shared" si="28"/>
        <v>0</v>
      </c>
      <c r="I82" s="80">
        <f t="shared" si="29"/>
        <v>0</v>
      </c>
      <c r="J82" s="116">
        <f t="shared" si="30"/>
        <v>0</v>
      </c>
      <c r="K82" s="104"/>
    </row>
    <row r="83" spans="1:11" hidden="1" x14ac:dyDescent="0.25">
      <c r="A83" s="44" t="s">
        <v>26</v>
      </c>
      <c r="B83" s="44">
        <v>3</v>
      </c>
      <c r="C83" s="45">
        <f>3099+17</f>
        <v>3116</v>
      </c>
      <c r="D83" s="52">
        <v>0</v>
      </c>
      <c r="E83" s="52">
        <v>0</v>
      </c>
      <c r="F83" s="52">
        <f>E83/9*12</f>
        <v>0</v>
      </c>
      <c r="G83" s="53"/>
      <c r="H83" s="83">
        <f t="shared" si="28"/>
        <v>0</v>
      </c>
      <c r="I83" s="83">
        <v>0</v>
      </c>
      <c r="J83" s="120">
        <f t="shared" si="30"/>
        <v>0</v>
      </c>
      <c r="K83" s="101"/>
    </row>
    <row r="84" spans="1:11" hidden="1" x14ac:dyDescent="0.25">
      <c r="A84" s="44" t="s">
        <v>65</v>
      </c>
      <c r="B84" s="44">
        <v>3</v>
      </c>
      <c r="C84" s="52">
        <v>0</v>
      </c>
      <c r="D84" s="52">
        <f t="shared" si="25"/>
        <v>0</v>
      </c>
      <c r="E84" s="52">
        <f t="shared" si="26"/>
        <v>0</v>
      </c>
      <c r="F84" s="52">
        <f t="shared" si="27"/>
        <v>0</v>
      </c>
      <c r="G84" s="45"/>
      <c r="H84" s="83">
        <f t="shared" si="28"/>
        <v>0</v>
      </c>
      <c r="I84" s="83">
        <f t="shared" si="29"/>
        <v>0</v>
      </c>
      <c r="J84" s="120">
        <f t="shared" si="30"/>
        <v>0</v>
      </c>
      <c r="K84" s="104"/>
    </row>
    <row r="85" spans="1:11" ht="15.75" thickBot="1" x14ac:dyDescent="0.3">
      <c r="A85" s="75" t="s">
        <v>87</v>
      </c>
      <c r="B85" s="44">
        <v>3</v>
      </c>
      <c r="C85" s="45">
        <f>SUM(C76:C84)</f>
        <v>30989</v>
      </c>
      <c r="D85" s="45">
        <f t="shared" ref="D85:E85" si="32">SUM(D76:D84)</f>
        <v>12000</v>
      </c>
      <c r="E85" s="45">
        <f t="shared" si="32"/>
        <v>6377</v>
      </c>
      <c r="F85" s="45">
        <f>SUM(F76:F84)</f>
        <v>8502.6666666666661</v>
      </c>
      <c r="G85" s="45"/>
      <c r="H85" s="97">
        <f>SUM(H76:H84)</f>
        <v>0</v>
      </c>
      <c r="I85" s="97">
        <f>SUM(I76:I84)</f>
        <v>1800</v>
      </c>
      <c r="J85" s="98">
        <f t="shared" si="30"/>
        <v>150</v>
      </c>
      <c r="K85" s="104"/>
    </row>
    <row r="86" spans="1:11" x14ac:dyDescent="0.25">
      <c r="A86" s="18"/>
      <c r="B86" s="18"/>
      <c r="C86" s="18"/>
      <c r="D86" s="18"/>
      <c r="E86" s="18"/>
      <c r="F86" s="18"/>
      <c r="G86" s="18"/>
    </row>
  </sheetData>
  <customSheetViews>
    <customSheetView guid="{D54A66AC-88E3-46FB-AFE3-2E559F565FEB}" scale="80" hiddenRows="1" hiddenColumns="1">
      <pane xSplit="1" ySplit="4" topLeftCell="C23" activePane="bottomRight" state="frozen"/>
      <selection pane="bottomRight" activeCell="K36" sqref="K36"/>
      <pageMargins left="0.75" right="0.75" top="1" bottom="1" header="0.5" footer="0.5"/>
      <pageSetup scale="41" fitToHeight="2" orientation="portrait" r:id="rId1"/>
      <headerFooter alignWithMargins="0"/>
    </customSheetView>
  </customSheetViews>
  <mergeCells count="1">
    <mergeCell ref="I1:J1"/>
  </mergeCells>
  <pageMargins left="0.75" right="0.75" top="1" bottom="1" header="0.5" footer="0.5"/>
  <pageSetup scale="41" fitToHeight="2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81"/>
  <sheetViews>
    <sheetView zoomScale="80" zoomScaleNormal="80" workbookViewId="0">
      <pane xSplit="1" ySplit="4" topLeftCell="B48" activePane="bottomRight" state="frozen"/>
      <selection activeCell="A180" sqref="A180"/>
      <selection pane="topRight" activeCell="A180" sqref="A180"/>
      <selection pane="bottomLeft" activeCell="A180" sqref="A180"/>
      <selection pane="bottomRight" activeCell="P39" sqref="P39"/>
    </sheetView>
  </sheetViews>
  <sheetFormatPr defaultRowHeight="15" x14ac:dyDescent="0.25"/>
  <cols>
    <col min="1" max="1" width="54.28515625" bestFit="1" customWidth="1"/>
    <col min="2" max="2" width="9.140625" hidden="1" customWidth="1"/>
    <col min="3" max="3" width="11.140625" hidden="1" customWidth="1"/>
    <col min="4" max="4" width="16.28515625" customWidth="1"/>
    <col min="5" max="5" width="14.5703125" bestFit="1" customWidth="1"/>
    <col min="6" max="6" width="0" hidden="1" customWidth="1"/>
    <col min="7" max="7" width="10.42578125" bestFit="1" customWidth="1"/>
    <col min="8" max="8" width="2.28515625" customWidth="1"/>
    <col min="9" max="9" width="19.7109375" customWidth="1"/>
    <col min="10" max="10" width="16.85546875" customWidth="1"/>
    <col min="11" max="11" width="55.5703125" customWidth="1"/>
    <col min="12" max="15" width="0" hidden="1" customWidth="1"/>
  </cols>
  <sheetData>
    <row r="1" spans="1:14" ht="18.75" customHeight="1" x14ac:dyDescent="0.3">
      <c r="I1" s="274" t="s">
        <v>523</v>
      </c>
      <c r="J1" s="275"/>
      <c r="K1" s="19"/>
    </row>
    <row r="2" spans="1:14" ht="15" customHeight="1" x14ac:dyDescent="0.25">
      <c r="I2" s="100" t="s">
        <v>391</v>
      </c>
      <c r="J2" s="20"/>
      <c r="K2" s="101" t="s">
        <v>592</v>
      </c>
    </row>
    <row r="3" spans="1:14" ht="21" thickBot="1" x14ac:dyDescent="0.35">
      <c r="A3" s="99" t="s">
        <v>524</v>
      </c>
      <c r="D3" s="21"/>
      <c r="I3" s="38"/>
      <c r="J3" s="20"/>
      <c r="K3" s="101" t="s">
        <v>641</v>
      </c>
      <c r="N3" s="107">
        <v>1.03</v>
      </c>
    </row>
    <row r="4" spans="1:14" ht="60.75" thickBot="1" x14ac:dyDescent="0.3">
      <c r="A4" s="39" t="s">
        <v>71</v>
      </c>
      <c r="B4" s="39" t="s">
        <v>72</v>
      </c>
      <c r="C4" s="39" t="s">
        <v>73</v>
      </c>
      <c r="D4" s="40" t="s">
        <v>525</v>
      </c>
      <c r="E4" s="40" t="s">
        <v>526</v>
      </c>
      <c r="F4" s="40" t="s">
        <v>443</v>
      </c>
      <c r="G4" s="40" t="s">
        <v>527</v>
      </c>
      <c r="H4" s="41"/>
      <c r="I4" s="42" t="s">
        <v>427</v>
      </c>
      <c r="J4" s="43" t="s">
        <v>428</v>
      </c>
      <c r="K4" s="103"/>
      <c r="N4" s="21" t="s">
        <v>74</v>
      </c>
    </row>
    <row r="5" spans="1:14" x14ac:dyDescent="0.25">
      <c r="A5" s="44" t="s">
        <v>33</v>
      </c>
      <c r="B5" s="44">
        <v>3</v>
      </c>
      <c r="C5" s="45">
        <f>-423831-14</f>
        <v>-423845</v>
      </c>
      <c r="D5" s="46">
        <v>150000</v>
      </c>
      <c r="E5" s="46">
        <v>116360</v>
      </c>
      <c r="F5" s="47"/>
      <c r="G5" s="48">
        <f>E5/9</f>
        <v>12928.888888888889</v>
      </c>
      <c r="H5" s="48"/>
      <c r="I5" s="47">
        <v>156310</v>
      </c>
      <c r="J5" s="49">
        <f t="shared" ref="J5:J10" si="0">I5/12</f>
        <v>13025.833333333334</v>
      </c>
      <c r="K5" s="104"/>
      <c r="L5">
        <f>SUM(E5)+(G5*3)*1.03</f>
        <v>156310.26666666666</v>
      </c>
      <c r="N5" s="23">
        <v>0.05</v>
      </c>
    </row>
    <row r="6" spans="1:14" x14ac:dyDescent="0.25">
      <c r="A6" s="44" t="s">
        <v>34</v>
      </c>
      <c r="B6" s="44">
        <v>3</v>
      </c>
      <c r="C6" s="45">
        <f>10802+4</f>
        <v>10806</v>
      </c>
      <c r="D6" s="46">
        <v>-3000</v>
      </c>
      <c r="E6" s="46">
        <v>-515</v>
      </c>
      <c r="F6" s="50">
        <v>108.06</v>
      </c>
      <c r="G6" s="48">
        <f t="shared" ref="G6:G9" si="1">E6/9</f>
        <v>-57.222222222222221</v>
      </c>
      <c r="H6" s="48"/>
      <c r="I6" s="50">
        <v>-3130</v>
      </c>
      <c r="J6" s="51">
        <f t="shared" si="0"/>
        <v>-260.83333333333331</v>
      </c>
      <c r="K6" s="101" t="s">
        <v>568</v>
      </c>
      <c r="L6">
        <f>I5*2%</f>
        <v>3126.2000000000003</v>
      </c>
      <c r="N6" s="21" t="s">
        <v>392</v>
      </c>
    </row>
    <row r="7" spans="1:14" x14ac:dyDescent="0.25">
      <c r="A7" s="44" t="s">
        <v>35</v>
      </c>
      <c r="B7" s="44">
        <v>3</v>
      </c>
      <c r="C7" s="45">
        <f>-45-12</f>
        <v>-57</v>
      </c>
      <c r="D7" s="46">
        <v>20</v>
      </c>
      <c r="E7" s="46">
        <v>19</v>
      </c>
      <c r="F7" s="50">
        <v>-0.56999999999999995</v>
      </c>
      <c r="G7" s="48">
        <f t="shared" si="1"/>
        <v>2.1111111111111112</v>
      </c>
      <c r="H7" s="48"/>
      <c r="I7" s="50">
        <v>30</v>
      </c>
      <c r="J7" s="51">
        <f t="shared" si="0"/>
        <v>2.5</v>
      </c>
      <c r="K7" s="104"/>
      <c r="L7">
        <f t="shared" ref="L7:L10" si="2">SUM(E7)+(G7*3)*1.03</f>
        <v>25.523333333333333</v>
      </c>
      <c r="N7" s="23">
        <v>0.03</v>
      </c>
    </row>
    <row r="8" spans="1:14" x14ac:dyDescent="0.25">
      <c r="A8" s="44" t="s">
        <v>36</v>
      </c>
      <c r="B8" s="44">
        <v>3</v>
      </c>
      <c r="C8" s="45">
        <f>-2093-5</f>
        <v>-2098</v>
      </c>
      <c r="D8" s="46">
        <v>2180</v>
      </c>
      <c r="E8" s="46">
        <v>1833</v>
      </c>
      <c r="F8" s="50">
        <v>-20.98</v>
      </c>
      <c r="G8" s="48">
        <f t="shared" si="1"/>
        <v>203.66666666666666</v>
      </c>
      <c r="H8" s="48"/>
      <c r="I8" s="50">
        <v>2460</v>
      </c>
      <c r="J8" s="51">
        <f t="shared" si="0"/>
        <v>205</v>
      </c>
      <c r="K8" s="104"/>
      <c r="L8">
        <f t="shared" si="2"/>
        <v>2462.33</v>
      </c>
    </row>
    <row r="9" spans="1:14" x14ac:dyDescent="0.25">
      <c r="A9" s="44" t="s">
        <v>238</v>
      </c>
      <c r="B9" s="44">
        <v>3</v>
      </c>
      <c r="C9" s="45">
        <f>-2077-19</f>
        <v>-2096</v>
      </c>
      <c r="D9" s="46">
        <v>900</v>
      </c>
      <c r="E9" s="46">
        <v>541</v>
      </c>
      <c r="F9" s="50">
        <f>D9*$N$38</f>
        <v>0</v>
      </c>
      <c r="G9" s="48">
        <f t="shared" si="1"/>
        <v>60.111111111111114</v>
      </c>
      <c r="H9" s="48"/>
      <c r="I9" s="50">
        <v>730</v>
      </c>
      <c r="J9" s="51">
        <f t="shared" si="0"/>
        <v>60.833333333333336</v>
      </c>
      <c r="K9" s="104"/>
      <c r="L9">
        <f t="shared" si="2"/>
        <v>726.74333333333334</v>
      </c>
    </row>
    <row r="10" spans="1:14" x14ac:dyDescent="0.25">
      <c r="A10" s="44" t="s">
        <v>239</v>
      </c>
      <c r="B10" s="44">
        <v>3</v>
      </c>
      <c r="C10" s="52">
        <f>-1312</f>
        <v>-1312</v>
      </c>
      <c r="D10" s="53">
        <v>540</v>
      </c>
      <c r="E10" s="53">
        <v>908</v>
      </c>
      <c r="F10" s="54">
        <f>D10*$N$38</f>
        <v>0</v>
      </c>
      <c r="G10" s="55">
        <f>E10/9</f>
        <v>100.88888888888889</v>
      </c>
      <c r="H10" s="55"/>
      <c r="I10" s="54">
        <v>1220</v>
      </c>
      <c r="J10" s="56">
        <f t="shared" si="0"/>
        <v>101.66666666666667</v>
      </c>
      <c r="K10" s="104"/>
      <c r="L10">
        <f t="shared" si="2"/>
        <v>1219.7466666666667</v>
      </c>
    </row>
    <row r="11" spans="1:14" x14ac:dyDescent="0.25">
      <c r="A11" s="44" t="s">
        <v>75</v>
      </c>
      <c r="B11" s="44"/>
      <c r="C11" s="45">
        <f>SUM(C5:C10)</f>
        <v>-418602</v>
      </c>
      <c r="D11" s="46">
        <f t="shared" ref="D11:J11" si="3">SUM(D5:D10)</f>
        <v>150640</v>
      </c>
      <c r="E11" s="46">
        <f t="shared" si="3"/>
        <v>119146</v>
      </c>
      <c r="F11" s="57">
        <f t="shared" si="3"/>
        <v>86.51</v>
      </c>
      <c r="G11" s="46">
        <f>SUM(G5:G10)</f>
        <v>13238.444444444443</v>
      </c>
      <c r="H11" s="46"/>
      <c r="I11" s="57">
        <f t="shared" si="3"/>
        <v>157620</v>
      </c>
      <c r="J11" s="58">
        <f t="shared" si="3"/>
        <v>13135</v>
      </c>
      <c r="K11" s="101"/>
    </row>
    <row r="12" spans="1:14" x14ac:dyDescent="0.25">
      <c r="A12" s="44"/>
      <c r="B12" s="44"/>
      <c r="C12" s="59"/>
      <c r="D12" s="46"/>
      <c r="E12" s="46"/>
      <c r="F12" s="50"/>
      <c r="G12" s="48"/>
      <c r="H12" s="48"/>
      <c r="I12" s="50"/>
      <c r="J12" s="51"/>
      <c r="K12" s="105"/>
    </row>
    <row r="13" spans="1:14" x14ac:dyDescent="0.25">
      <c r="A13" s="44" t="s">
        <v>76</v>
      </c>
      <c r="B13" s="44"/>
      <c r="C13" s="45">
        <f>C34</f>
        <v>38896</v>
      </c>
      <c r="D13" s="46">
        <f>-D34</f>
        <v>-15850</v>
      </c>
      <c r="E13" s="46">
        <f>-E34</f>
        <v>-12051</v>
      </c>
      <c r="F13" s="60">
        <f>F34</f>
        <v>626.1</v>
      </c>
      <c r="G13" s="61">
        <f>E13/9</f>
        <v>-1339</v>
      </c>
      <c r="H13" s="61"/>
      <c r="I13" s="60">
        <f>-I34</f>
        <v>-16220</v>
      </c>
      <c r="J13" s="62">
        <f t="shared" ref="J13:J17" si="4">I13/12</f>
        <v>-1351.6666666666667</v>
      </c>
      <c r="K13" s="106"/>
      <c r="L13" s="24"/>
    </row>
    <row r="14" spans="1:14" x14ac:dyDescent="0.25">
      <c r="A14" s="44" t="s">
        <v>240</v>
      </c>
      <c r="B14" s="44"/>
      <c r="C14" s="45">
        <f>C41</f>
        <v>40761.069999999992</v>
      </c>
      <c r="D14" s="46">
        <f>-D41</f>
        <v>-9880</v>
      </c>
      <c r="E14" s="46">
        <f>-E41</f>
        <v>-8131</v>
      </c>
      <c r="F14" s="60">
        <f>F41</f>
        <v>0</v>
      </c>
      <c r="G14" s="61">
        <f t="shared" ref="G14:G17" si="5">E14/9</f>
        <v>-903.44444444444446</v>
      </c>
      <c r="H14" s="61"/>
      <c r="I14" s="60">
        <f>-I41</f>
        <v>-11010</v>
      </c>
      <c r="J14" s="62">
        <f t="shared" si="4"/>
        <v>-917.5</v>
      </c>
      <c r="K14" s="106"/>
    </row>
    <row r="15" spans="1:14" x14ac:dyDescent="0.25">
      <c r="A15" s="44" t="s">
        <v>88</v>
      </c>
      <c r="B15" s="44"/>
      <c r="C15" s="45">
        <f>C55</f>
        <v>85862.87000000001</v>
      </c>
      <c r="D15" s="46">
        <f>-D55</f>
        <v>-36490</v>
      </c>
      <c r="E15" s="46">
        <f>-E55</f>
        <v>-32368</v>
      </c>
      <c r="F15" s="60">
        <f>D15*$N$7</f>
        <v>-1094.7</v>
      </c>
      <c r="G15" s="61">
        <f t="shared" si="5"/>
        <v>-3596.4444444444443</v>
      </c>
      <c r="H15" s="61"/>
      <c r="I15" s="60">
        <f>-I55</f>
        <v>-46140</v>
      </c>
      <c r="J15" s="62">
        <f t="shared" si="4"/>
        <v>-3845</v>
      </c>
      <c r="K15" s="106"/>
    </row>
    <row r="16" spans="1:14" x14ac:dyDescent="0.25">
      <c r="A16" s="44" t="s">
        <v>77</v>
      </c>
      <c r="B16" s="44"/>
      <c r="C16" s="45">
        <f>C65</f>
        <v>140228.25</v>
      </c>
      <c r="D16" s="46">
        <f>-D65</f>
        <v>-57120</v>
      </c>
      <c r="E16" s="46">
        <f>-E65</f>
        <v>-43728</v>
      </c>
      <c r="F16" s="60">
        <f>F65</f>
        <v>173.79999999999998</v>
      </c>
      <c r="G16" s="61">
        <f t="shared" si="5"/>
        <v>-4858.666666666667</v>
      </c>
      <c r="H16" s="61"/>
      <c r="I16" s="60">
        <f>-I65</f>
        <v>-60520</v>
      </c>
      <c r="J16" s="62">
        <f t="shared" si="4"/>
        <v>-5043.333333333333</v>
      </c>
      <c r="K16" s="106"/>
    </row>
    <row r="17" spans="1:12" x14ac:dyDescent="0.25">
      <c r="A17" s="44" t="s">
        <v>78</v>
      </c>
      <c r="B17" s="44"/>
      <c r="C17" s="45">
        <f>C69</f>
        <v>18697</v>
      </c>
      <c r="D17" s="46">
        <f>-D69</f>
        <v>-6300</v>
      </c>
      <c r="E17" s="46">
        <f>-E69</f>
        <v>-4725</v>
      </c>
      <c r="F17" s="60"/>
      <c r="G17" s="61">
        <f t="shared" si="5"/>
        <v>-525</v>
      </c>
      <c r="H17" s="61"/>
      <c r="I17" s="60">
        <f>-I68</f>
        <v>-12600</v>
      </c>
      <c r="J17" s="62">
        <f t="shared" si="4"/>
        <v>-1050</v>
      </c>
      <c r="K17" s="106"/>
    </row>
    <row r="18" spans="1:12" x14ac:dyDescent="0.25">
      <c r="A18" s="44" t="s">
        <v>79</v>
      </c>
      <c r="B18" s="63"/>
      <c r="C18" s="52">
        <f>C80</f>
        <v>25631</v>
      </c>
      <c r="D18" s="53">
        <f>-D80</f>
        <v>-39800</v>
      </c>
      <c r="E18" s="53">
        <f>-E80</f>
        <v>-1525</v>
      </c>
      <c r="F18" s="64"/>
      <c r="G18" s="65">
        <f>E18/9</f>
        <v>-169.44444444444446</v>
      </c>
      <c r="H18" s="65"/>
      <c r="I18" s="64">
        <f>-I80</f>
        <v>-9000</v>
      </c>
      <c r="J18" s="66">
        <f>J80</f>
        <v>750</v>
      </c>
      <c r="K18" s="106"/>
    </row>
    <row r="19" spans="1:12" x14ac:dyDescent="0.25">
      <c r="A19" s="44" t="s">
        <v>80</v>
      </c>
      <c r="B19" s="44"/>
      <c r="C19" s="45">
        <f t="shared" ref="C19:J19" si="6">SUM(C13:C18)</f>
        <v>350076.19</v>
      </c>
      <c r="D19" s="46">
        <f t="shared" si="6"/>
        <v>-165440</v>
      </c>
      <c r="E19" s="46">
        <f t="shared" si="6"/>
        <v>-102528</v>
      </c>
      <c r="F19" s="67">
        <f t="shared" si="6"/>
        <v>-294.80000000000007</v>
      </c>
      <c r="G19" s="68">
        <f>SUM(G13:G18)</f>
        <v>-11392</v>
      </c>
      <c r="H19" s="68"/>
      <c r="I19" s="60">
        <f t="shared" si="6"/>
        <v>-155490</v>
      </c>
      <c r="J19" s="58">
        <f t="shared" si="6"/>
        <v>-11457.5</v>
      </c>
      <c r="K19" s="106"/>
    </row>
    <row r="20" spans="1:12" x14ac:dyDescent="0.25">
      <c r="A20" s="44"/>
      <c r="B20" s="44"/>
      <c r="C20" s="45"/>
      <c r="D20" s="46"/>
      <c r="E20" s="46"/>
      <c r="F20" s="67"/>
      <c r="G20" s="68"/>
      <c r="H20" s="68"/>
      <c r="I20" s="60"/>
      <c r="J20" s="58"/>
      <c r="K20" s="106"/>
    </row>
    <row r="21" spans="1:12" ht="15.75" thickBot="1" x14ac:dyDescent="0.3">
      <c r="A21" s="69" t="s">
        <v>550</v>
      </c>
      <c r="B21" s="70"/>
      <c r="C21" s="71">
        <f>SUM(-C11-C19)</f>
        <v>68525.81</v>
      </c>
      <c r="D21" s="72">
        <f>SUM(D11+D19)+D64</f>
        <v>34140</v>
      </c>
      <c r="E21" s="72">
        <f>SUM(E11+E19)+E64</f>
        <v>53253</v>
      </c>
      <c r="F21" s="72">
        <f t="shared" ref="F21" si="7">SUM(F11+F19)+F81</f>
        <v>-208.29000000000008</v>
      </c>
      <c r="G21" s="72">
        <f>SUM(G11+G19)+G64</f>
        <v>5916.9999999999991</v>
      </c>
      <c r="I21" s="73">
        <f>SUM(I11+I19)+I64</f>
        <v>50980</v>
      </c>
      <c r="J21" s="74">
        <f>SUM(J11+J19)+J64</f>
        <v>5748.3333333333339</v>
      </c>
      <c r="K21" s="107"/>
    </row>
    <row r="22" spans="1:12" x14ac:dyDescent="0.25">
      <c r="A22" s="75" t="s">
        <v>449</v>
      </c>
      <c r="B22" s="44"/>
      <c r="C22" s="59"/>
      <c r="D22" s="77"/>
      <c r="E22" s="77"/>
      <c r="F22" s="78"/>
      <c r="G22" s="79"/>
      <c r="H22" s="79"/>
      <c r="I22" s="50"/>
      <c r="J22" s="76"/>
      <c r="K22" s="107"/>
    </row>
    <row r="23" spans="1:12" x14ac:dyDescent="0.25">
      <c r="A23" s="44" t="s">
        <v>39</v>
      </c>
      <c r="B23" s="44">
        <v>3</v>
      </c>
      <c r="C23" s="45">
        <f>5607+7033</f>
        <v>12640</v>
      </c>
      <c r="D23" s="45">
        <v>5060</v>
      </c>
      <c r="E23" s="45">
        <v>3741</v>
      </c>
      <c r="F23" s="80">
        <f>D23*$N$7</f>
        <v>151.79999999999998</v>
      </c>
      <c r="G23" s="81">
        <f>E23/9</f>
        <v>415.66666666666669</v>
      </c>
      <c r="H23" s="81"/>
      <c r="I23" s="80">
        <v>5030</v>
      </c>
      <c r="J23" s="82">
        <f t="shared" ref="J23:J33" si="8">I23/12</f>
        <v>419.16666666666669</v>
      </c>
      <c r="K23" s="101" t="s">
        <v>446</v>
      </c>
      <c r="L23">
        <f t="shared" ref="L23:L33" si="9">SUM(E23)+(G23*3)*1.03</f>
        <v>5025.41</v>
      </c>
    </row>
    <row r="24" spans="1:12" x14ac:dyDescent="0.25">
      <c r="A24" s="44" t="s">
        <v>40</v>
      </c>
      <c r="B24" s="44">
        <v>3</v>
      </c>
      <c r="C24" s="45">
        <f>536-11</f>
        <v>525</v>
      </c>
      <c r="D24" s="45">
        <v>150</v>
      </c>
      <c r="E24" s="45">
        <v>12</v>
      </c>
      <c r="F24" s="80">
        <f>D24*$N$7</f>
        <v>4.5</v>
      </c>
      <c r="G24" s="81">
        <f t="shared" ref="G24:G32" si="10">E24/9</f>
        <v>1.3333333333333333</v>
      </c>
      <c r="H24" s="81"/>
      <c r="I24" s="80">
        <v>20</v>
      </c>
      <c r="J24" s="82">
        <f t="shared" si="8"/>
        <v>1.6666666666666667</v>
      </c>
      <c r="K24" s="104"/>
      <c r="L24">
        <f t="shared" si="9"/>
        <v>16.12</v>
      </c>
    </row>
    <row r="25" spans="1:12" x14ac:dyDescent="0.25">
      <c r="A25" s="44" t="s">
        <v>41</v>
      </c>
      <c r="B25" s="44">
        <v>3</v>
      </c>
      <c r="C25" s="45">
        <f>184-9</f>
        <v>175</v>
      </c>
      <c r="D25" s="45">
        <v>160</v>
      </c>
      <c r="E25" s="45">
        <v>149</v>
      </c>
      <c r="F25" s="80">
        <f>D25*$N$7</f>
        <v>4.8</v>
      </c>
      <c r="G25" s="81">
        <f t="shared" si="10"/>
        <v>16.555555555555557</v>
      </c>
      <c r="H25" s="81"/>
      <c r="I25" s="80">
        <v>200</v>
      </c>
      <c r="J25" s="82">
        <f t="shared" si="8"/>
        <v>16.666666666666668</v>
      </c>
      <c r="K25" s="104"/>
      <c r="L25">
        <f t="shared" si="9"/>
        <v>200.15666666666667</v>
      </c>
    </row>
    <row r="26" spans="1:12" x14ac:dyDescent="0.25">
      <c r="A26" s="44" t="s">
        <v>498</v>
      </c>
      <c r="B26" s="44">
        <v>3</v>
      </c>
      <c r="C26" s="45">
        <f>63+83</f>
        <v>146</v>
      </c>
      <c r="D26" s="45">
        <v>50</v>
      </c>
      <c r="E26" s="45">
        <v>81</v>
      </c>
      <c r="F26" s="80">
        <f>D26*$N$7</f>
        <v>1.5</v>
      </c>
      <c r="G26" s="81">
        <f t="shared" si="10"/>
        <v>9</v>
      </c>
      <c r="H26" s="81"/>
      <c r="I26" s="80">
        <v>110</v>
      </c>
      <c r="J26" s="82">
        <f t="shared" si="8"/>
        <v>9.1666666666666661</v>
      </c>
      <c r="K26" s="104"/>
      <c r="L26">
        <f t="shared" si="9"/>
        <v>108.81</v>
      </c>
    </row>
    <row r="27" spans="1:12" x14ac:dyDescent="0.25">
      <c r="A27" s="44" t="s">
        <v>243</v>
      </c>
      <c r="B27" s="44">
        <v>3</v>
      </c>
      <c r="C27" s="45">
        <f>20976-2061</f>
        <v>18915</v>
      </c>
      <c r="D27" s="45">
        <v>7530</v>
      </c>
      <c r="E27" s="45">
        <v>5956</v>
      </c>
      <c r="F27" s="80">
        <f>D27*$N$5</f>
        <v>376.5</v>
      </c>
      <c r="G27" s="81">
        <f t="shared" si="10"/>
        <v>661.77777777777783</v>
      </c>
      <c r="H27" s="81"/>
      <c r="I27" s="80">
        <v>7880</v>
      </c>
      <c r="J27" s="82">
        <f t="shared" si="8"/>
        <v>656.66666666666663</v>
      </c>
      <c r="K27" s="101" t="s">
        <v>566</v>
      </c>
      <c r="L27">
        <f>I11*5%</f>
        <v>7881</v>
      </c>
    </row>
    <row r="28" spans="1:12" x14ac:dyDescent="0.25">
      <c r="A28" s="44" t="s">
        <v>244</v>
      </c>
      <c r="B28" s="44">
        <v>3</v>
      </c>
      <c r="C28" s="45">
        <f>235-2</f>
        <v>233</v>
      </c>
      <c r="D28" s="45">
        <v>150</v>
      </c>
      <c r="E28" s="45">
        <v>0</v>
      </c>
      <c r="F28" s="80">
        <f t="shared" ref="F28:F33" si="11">D28*$N$7</f>
        <v>4.5</v>
      </c>
      <c r="G28" s="81">
        <f t="shared" si="10"/>
        <v>0</v>
      </c>
      <c r="H28" s="81"/>
      <c r="I28" s="80">
        <v>150</v>
      </c>
      <c r="J28" s="82">
        <f t="shared" si="8"/>
        <v>12.5</v>
      </c>
      <c r="K28" s="104"/>
      <c r="L28">
        <f t="shared" si="9"/>
        <v>0</v>
      </c>
    </row>
    <row r="29" spans="1:12" x14ac:dyDescent="0.25">
      <c r="A29" s="44" t="s">
        <v>43</v>
      </c>
      <c r="B29" s="44">
        <v>3</v>
      </c>
      <c r="C29" s="45">
        <f>1818-12</f>
        <v>1806</v>
      </c>
      <c r="D29" s="45">
        <v>520</v>
      </c>
      <c r="E29" s="45">
        <v>753</v>
      </c>
      <c r="F29" s="80">
        <f t="shared" si="11"/>
        <v>15.6</v>
      </c>
      <c r="G29" s="81">
        <f t="shared" si="10"/>
        <v>83.666666666666671</v>
      </c>
      <c r="H29" s="81"/>
      <c r="I29" s="80">
        <v>1010</v>
      </c>
      <c r="J29" s="82">
        <f t="shared" si="8"/>
        <v>84.166666666666671</v>
      </c>
      <c r="K29" s="104"/>
      <c r="L29">
        <f t="shared" si="9"/>
        <v>1011.53</v>
      </c>
    </row>
    <row r="30" spans="1:12" x14ac:dyDescent="0.25">
      <c r="A30" s="44" t="s">
        <v>44</v>
      </c>
      <c r="B30" s="44">
        <v>3</v>
      </c>
      <c r="C30" s="45">
        <f>1799+6</f>
        <v>1805</v>
      </c>
      <c r="D30" s="45">
        <v>700</v>
      </c>
      <c r="E30" s="45">
        <v>649</v>
      </c>
      <c r="F30" s="80">
        <f t="shared" si="11"/>
        <v>21</v>
      </c>
      <c r="G30" s="81">
        <f t="shared" si="10"/>
        <v>72.111111111111114</v>
      </c>
      <c r="H30" s="81"/>
      <c r="I30" s="80">
        <v>870</v>
      </c>
      <c r="J30" s="82">
        <f t="shared" si="8"/>
        <v>72.5</v>
      </c>
      <c r="K30" s="104"/>
      <c r="L30">
        <f t="shared" si="9"/>
        <v>871.82333333333338</v>
      </c>
    </row>
    <row r="31" spans="1:12" x14ac:dyDescent="0.25">
      <c r="A31" s="44" t="s">
        <v>45</v>
      </c>
      <c r="B31" s="44">
        <v>3</v>
      </c>
      <c r="C31" s="45">
        <f>929+4</f>
        <v>933</v>
      </c>
      <c r="D31" s="45">
        <v>1100</v>
      </c>
      <c r="E31" s="45">
        <v>330</v>
      </c>
      <c r="F31" s="80">
        <f t="shared" si="11"/>
        <v>33</v>
      </c>
      <c r="G31" s="81">
        <f t="shared" si="10"/>
        <v>36.666666666666664</v>
      </c>
      <c r="H31" s="81"/>
      <c r="I31" s="80">
        <v>440</v>
      </c>
      <c r="J31" s="82">
        <f t="shared" si="8"/>
        <v>36.666666666666664</v>
      </c>
      <c r="K31" s="104"/>
      <c r="L31">
        <f t="shared" si="9"/>
        <v>443.3</v>
      </c>
    </row>
    <row r="32" spans="1:12" x14ac:dyDescent="0.25">
      <c r="A32" s="44" t="s">
        <v>245</v>
      </c>
      <c r="B32" s="44">
        <v>3</v>
      </c>
      <c r="C32" s="45">
        <f>921+12</f>
        <v>933</v>
      </c>
      <c r="D32" s="45">
        <v>100</v>
      </c>
      <c r="E32" s="45">
        <v>15</v>
      </c>
      <c r="F32" s="80">
        <f t="shared" si="11"/>
        <v>3</v>
      </c>
      <c r="G32" s="81">
        <f t="shared" si="10"/>
        <v>1.6666666666666667</v>
      </c>
      <c r="H32" s="81"/>
      <c r="I32" s="80">
        <v>20</v>
      </c>
      <c r="J32" s="82">
        <f t="shared" si="8"/>
        <v>1.6666666666666667</v>
      </c>
      <c r="K32" s="104"/>
      <c r="L32">
        <f>SUM(E32)+(G32*3)*1.03</f>
        <v>20.149999999999999</v>
      </c>
    </row>
    <row r="33" spans="1:14" x14ac:dyDescent="0.25">
      <c r="A33" s="44" t="s">
        <v>46</v>
      </c>
      <c r="B33" s="44">
        <v>3</v>
      </c>
      <c r="C33" s="52">
        <f>778+7</f>
        <v>785</v>
      </c>
      <c r="D33" s="52">
        <v>330</v>
      </c>
      <c r="E33" s="52">
        <v>365</v>
      </c>
      <c r="F33" s="83">
        <f t="shared" si="11"/>
        <v>9.9</v>
      </c>
      <c r="G33" s="84">
        <f>E33/9</f>
        <v>40.555555555555557</v>
      </c>
      <c r="H33" s="81"/>
      <c r="I33" s="83">
        <v>490</v>
      </c>
      <c r="J33" s="85">
        <f t="shared" si="8"/>
        <v>40.833333333333336</v>
      </c>
      <c r="K33" s="104"/>
      <c r="L33">
        <f t="shared" si="9"/>
        <v>490.31666666666666</v>
      </c>
    </row>
    <row r="34" spans="1:14" x14ac:dyDescent="0.25">
      <c r="A34" s="75" t="s">
        <v>81</v>
      </c>
      <c r="B34" s="44"/>
      <c r="C34" s="45">
        <f>SUM(C23:C33)</f>
        <v>38896</v>
      </c>
      <c r="D34" s="45">
        <f t="shared" ref="D34:E34" si="12">SUM(D23:D33)</f>
        <v>15850</v>
      </c>
      <c r="E34" s="45">
        <f t="shared" si="12"/>
        <v>12051</v>
      </c>
      <c r="F34" s="86">
        <f>SUM(F23:F33)</f>
        <v>626.1</v>
      </c>
      <c r="G34" s="87">
        <f>SUM(G23:G33)</f>
        <v>1339.0000000000005</v>
      </c>
      <c r="H34" s="87"/>
      <c r="I34" s="86">
        <f t="shared" ref="I34:J34" si="13">SUM(I23:I33)</f>
        <v>16220</v>
      </c>
      <c r="J34" s="88">
        <f t="shared" si="13"/>
        <v>1351.666666666667</v>
      </c>
      <c r="K34" s="104"/>
    </row>
    <row r="35" spans="1:14" x14ac:dyDescent="0.25">
      <c r="A35" s="75"/>
      <c r="B35" s="44"/>
      <c r="C35" s="45"/>
      <c r="D35" s="45"/>
      <c r="E35" s="45"/>
      <c r="F35" s="86"/>
      <c r="G35" s="87"/>
      <c r="H35" s="87"/>
      <c r="I35" s="86"/>
      <c r="J35" s="88"/>
      <c r="K35" s="104"/>
    </row>
    <row r="36" spans="1:14" x14ac:dyDescent="0.25">
      <c r="A36" s="75" t="s">
        <v>450</v>
      </c>
      <c r="B36" s="44"/>
      <c r="C36" s="45"/>
      <c r="D36" s="45"/>
      <c r="E36" s="45"/>
      <c r="F36" s="86"/>
      <c r="G36" s="87"/>
      <c r="H36" s="87"/>
      <c r="I36" s="86"/>
      <c r="J36" s="89"/>
      <c r="K36" s="104"/>
    </row>
    <row r="37" spans="1:14" x14ac:dyDescent="0.25">
      <c r="A37" s="44" t="s">
        <v>220</v>
      </c>
      <c r="B37" s="44">
        <v>3</v>
      </c>
      <c r="C37" s="45">
        <f>4015.39+863</f>
        <v>4878.3899999999994</v>
      </c>
      <c r="D37" s="45">
        <v>1050</v>
      </c>
      <c r="E37" s="45">
        <v>894</v>
      </c>
      <c r="F37" s="80">
        <f>D37*$N$37</f>
        <v>0</v>
      </c>
      <c r="G37" s="81">
        <f>E37/9</f>
        <v>99.333333333333329</v>
      </c>
      <c r="H37" s="81"/>
      <c r="I37" s="80">
        <v>1200</v>
      </c>
      <c r="J37" s="82">
        <f t="shared" ref="J37:J40" si="14">I37/12</f>
        <v>100</v>
      </c>
      <c r="K37" s="101" t="s">
        <v>501</v>
      </c>
      <c r="L37">
        <f>SUM(E37)+(G37*3)*1.03</f>
        <v>1200.94</v>
      </c>
      <c r="N37" s="31"/>
    </row>
    <row r="38" spans="1:14" x14ac:dyDescent="0.25">
      <c r="A38" s="44" t="s">
        <v>47</v>
      </c>
      <c r="B38" s="44">
        <v>3</v>
      </c>
      <c r="C38" s="45">
        <f>15753.63+503</f>
        <v>16256.63</v>
      </c>
      <c r="D38" s="45">
        <v>3420</v>
      </c>
      <c r="E38" s="45">
        <v>3184</v>
      </c>
      <c r="F38" s="80">
        <f>D38*$N$38</f>
        <v>0</v>
      </c>
      <c r="G38" s="81">
        <f t="shared" ref="G38:G39" si="15">E38/9</f>
        <v>353.77777777777777</v>
      </c>
      <c r="H38" s="81"/>
      <c r="I38" s="80">
        <v>4330</v>
      </c>
      <c r="J38" s="82">
        <f t="shared" si="14"/>
        <v>360.83333333333331</v>
      </c>
      <c r="K38" s="101" t="s">
        <v>610</v>
      </c>
      <c r="L38">
        <f>SUM(E38)+(G38*3)*1.08</f>
        <v>4330.24</v>
      </c>
      <c r="N38" s="31"/>
    </row>
    <row r="39" spans="1:14" x14ac:dyDescent="0.25">
      <c r="A39" s="44" t="s">
        <v>48</v>
      </c>
      <c r="B39" s="44">
        <v>3</v>
      </c>
      <c r="C39" s="45">
        <f>4593.05+5</f>
        <v>4598.05</v>
      </c>
      <c r="D39" s="45">
        <v>740</v>
      </c>
      <c r="E39" s="45">
        <v>399</v>
      </c>
      <c r="F39" s="80">
        <f>D39*$N$39</f>
        <v>0</v>
      </c>
      <c r="G39" s="81">
        <f t="shared" si="15"/>
        <v>44.333333333333336</v>
      </c>
      <c r="H39" s="81"/>
      <c r="I39" s="80">
        <v>540</v>
      </c>
      <c r="J39" s="82">
        <f t="shared" si="14"/>
        <v>45</v>
      </c>
      <c r="K39" s="101" t="s">
        <v>533</v>
      </c>
      <c r="L39">
        <f>SUM(E39)+(G39*3)*1.04</f>
        <v>537.31999999999994</v>
      </c>
      <c r="N39" s="31"/>
    </row>
    <row r="40" spans="1:14" x14ac:dyDescent="0.25">
      <c r="A40" s="44" t="s">
        <v>49</v>
      </c>
      <c r="B40" s="44">
        <v>3</v>
      </c>
      <c r="C40" s="52">
        <f>12018+3010</f>
        <v>15028</v>
      </c>
      <c r="D40" s="52">
        <v>4670</v>
      </c>
      <c r="E40" s="52">
        <v>3654</v>
      </c>
      <c r="F40" s="83">
        <f>D40*$N$40</f>
        <v>0</v>
      </c>
      <c r="G40" s="84">
        <f>E40/9</f>
        <v>406</v>
      </c>
      <c r="H40" s="81"/>
      <c r="I40" s="83">
        <v>4940</v>
      </c>
      <c r="J40" s="85">
        <f t="shared" si="14"/>
        <v>411.66666666666669</v>
      </c>
      <c r="K40" s="101" t="s">
        <v>585</v>
      </c>
      <c r="L40">
        <f>SUM(E40)+(G40*3)*1.05</f>
        <v>4932.8999999999996</v>
      </c>
      <c r="N40" s="31"/>
    </row>
    <row r="41" spans="1:14" x14ac:dyDescent="0.25">
      <c r="A41" s="75" t="s">
        <v>82</v>
      </c>
      <c r="B41" s="44"/>
      <c r="C41" s="45">
        <f>SUM(C37:C40)</f>
        <v>40761.069999999992</v>
      </c>
      <c r="D41" s="45">
        <f>SUM(D37:D40)</f>
        <v>9880</v>
      </c>
      <c r="E41" s="45">
        <f>SUM(E37:E40)</f>
        <v>8131</v>
      </c>
      <c r="F41" s="86">
        <f>SUM(F37:F40)</f>
        <v>0</v>
      </c>
      <c r="G41" s="87">
        <f>SUM(G37:G40)</f>
        <v>903.44444444444434</v>
      </c>
      <c r="H41" s="87"/>
      <c r="I41" s="86">
        <f t="shared" ref="I41:J41" si="16">SUM(I37:I40)</f>
        <v>11010</v>
      </c>
      <c r="J41" s="88">
        <f t="shared" si="16"/>
        <v>917.5</v>
      </c>
      <c r="K41" s="104"/>
    </row>
    <row r="42" spans="1:14" x14ac:dyDescent="0.25">
      <c r="A42" s="75"/>
      <c r="B42" s="44"/>
      <c r="C42" s="59"/>
      <c r="D42" s="59"/>
      <c r="E42" s="59"/>
      <c r="F42" s="86"/>
      <c r="G42" s="87"/>
      <c r="H42" s="87"/>
      <c r="I42" s="80"/>
      <c r="J42" s="89"/>
      <c r="K42" s="104"/>
    </row>
    <row r="43" spans="1:14" x14ac:dyDescent="0.25">
      <c r="A43" s="75" t="s">
        <v>451</v>
      </c>
      <c r="B43" s="44"/>
      <c r="C43" s="59"/>
      <c r="D43" s="59"/>
      <c r="E43" s="59"/>
      <c r="F43" s="86"/>
      <c r="G43" s="87"/>
      <c r="H43" s="87"/>
      <c r="I43" s="80"/>
      <c r="J43" s="89"/>
      <c r="K43" s="104"/>
    </row>
    <row r="44" spans="1:14" x14ac:dyDescent="0.25">
      <c r="A44" s="44" t="s">
        <v>246</v>
      </c>
      <c r="B44" s="44">
        <v>3</v>
      </c>
      <c r="C44" s="45">
        <f>1560+361</f>
        <v>1921</v>
      </c>
      <c r="D44" s="45">
        <v>270</v>
      </c>
      <c r="E44" s="45">
        <v>570</v>
      </c>
      <c r="F44" s="80">
        <f t="shared" ref="F44:F54" si="17">D44*$N$7</f>
        <v>8.1</v>
      </c>
      <c r="G44" s="81">
        <f>E44/9</f>
        <v>63.333333333333336</v>
      </c>
      <c r="H44" s="81"/>
      <c r="I44" s="80">
        <v>770</v>
      </c>
      <c r="J44" s="82">
        <f t="shared" ref="J44:J54" si="18">I44/12</f>
        <v>64.166666666666671</v>
      </c>
      <c r="K44" s="104"/>
      <c r="L44">
        <f>SUM(E44)+(G44*3)*1.03</f>
        <v>765.7</v>
      </c>
    </row>
    <row r="45" spans="1:14" x14ac:dyDescent="0.25">
      <c r="A45" s="44" t="s">
        <v>247</v>
      </c>
      <c r="B45" s="44">
        <v>3</v>
      </c>
      <c r="C45" s="45">
        <f>3117+1223</f>
        <v>4340</v>
      </c>
      <c r="D45" s="45">
        <v>260</v>
      </c>
      <c r="E45" s="45">
        <v>317</v>
      </c>
      <c r="F45" s="80">
        <f t="shared" si="17"/>
        <v>7.8</v>
      </c>
      <c r="G45" s="81">
        <f t="shared" ref="G45:G53" si="19">E45/9</f>
        <v>35.222222222222221</v>
      </c>
      <c r="H45" s="81"/>
      <c r="I45" s="80">
        <v>1190</v>
      </c>
      <c r="J45" s="82">
        <f t="shared" si="18"/>
        <v>99.166666666666671</v>
      </c>
      <c r="K45" s="101" t="s">
        <v>608</v>
      </c>
      <c r="L45">
        <f t="shared" ref="L45:L54" si="20">SUM(E45)+(G45*3)*1.03</f>
        <v>425.83666666666664</v>
      </c>
    </row>
    <row r="46" spans="1:14" x14ac:dyDescent="0.25">
      <c r="A46" s="44" t="s">
        <v>53</v>
      </c>
      <c r="B46" s="44">
        <v>3</v>
      </c>
      <c r="C46" s="45">
        <f>6486.19+38</f>
        <v>6524.19</v>
      </c>
      <c r="D46" s="45">
        <v>2210</v>
      </c>
      <c r="E46" s="45">
        <v>1917</v>
      </c>
      <c r="F46" s="80">
        <f t="shared" si="17"/>
        <v>66.3</v>
      </c>
      <c r="G46" s="81">
        <f t="shared" si="19"/>
        <v>213</v>
      </c>
      <c r="H46" s="81"/>
      <c r="I46" s="80">
        <v>2260</v>
      </c>
      <c r="J46" s="82">
        <f t="shared" si="18"/>
        <v>188.33333333333334</v>
      </c>
      <c r="K46" s="101" t="s">
        <v>542</v>
      </c>
      <c r="L46">
        <f>SUM(E46)+(G46*3)*1.04</f>
        <v>2581.56</v>
      </c>
    </row>
    <row r="47" spans="1:14" x14ac:dyDescent="0.25">
      <c r="A47" s="44" t="s">
        <v>54</v>
      </c>
      <c r="B47" s="44">
        <v>3</v>
      </c>
      <c r="C47" s="45">
        <f>13027.18+1012</f>
        <v>14039.18</v>
      </c>
      <c r="D47" s="45">
        <v>4920</v>
      </c>
      <c r="E47" s="45">
        <v>5665</v>
      </c>
      <c r="F47" s="80">
        <f t="shared" si="17"/>
        <v>147.6</v>
      </c>
      <c r="G47" s="81">
        <f t="shared" si="19"/>
        <v>629.44444444444446</v>
      </c>
      <c r="H47" s="81"/>
      <c r="I47" s="80">
        <v>7610</v>
      </c>
      <c r="J47" s="82">
        <f t="shared" si="18"/>
        <v>634.16666666666663</v>
      </c>
      <c r="K47" s="104"/>
      <c r="L47">
        <f t="shared" si="20"/>
        <v>7609.9833333333336</v>
      </c>
    </row>
    <row r="48" spans="1:14" x14ac:dyDescent="0.25">
      <c r="A48" s="44" t="s">
        <v>248</v>
      </c>
      <c r="B48" s="44">
        <v>3</v>
      </c>
      <c r="C48" s="45">
        <f>26062.95-9023</f>
        <v>17039.95</v>
      </c>
      <c r="D48" s="45">
        <v>4210</v>
      </c>
      <c r="E48" s="45">
        <v>4861</v>
      </c>
      <c r="F48" s="80">
        <f t="shared" si="17"/>
        <v>126.3</v>
      </c>
      <c r="G48" s="81">
        <f t="shared" si="19"/>
        <v>540.11111111111109</v>
      </c>
      <c r="H48" s="81"/>
      <c r="I48" s="80">
        <v>6530</v>
      </c>
      <c r="J48" s="82">
        <f t="shared" si="18"/>
        <v>544.16666666666663</v>
      </c>
      <c r="K48" s="104"/>
      <c r="L48">
        <f t="shared" si="20"/>
        <v>6529.9433333333336</v>
      </c>
    </row>
    <row r="49" spans="1:18" x14ac:dyDescent="0.25">
      <c r="A49" s="44" t="s">
        <v>55</v>
      </c>
      <c r="B49" s="44">
        <v>3</v>
      </c>
      <c r="C49" s="45">
        <f>27331.93-6041</f>
        <v>21290.93</v>
      </c>
      <c r="D49" s="45">
        <v>8820</v>
      </c>
      <c r="E49" s="45">
        <v>6341</v>
      </c>
      <c r="F49" s="80">
        <f t="shared" si="17"/>
        <v>264.59999999999997</v>
      </c>
      <c r="G49" s="81">
        <f t="shared" si="19"/>
        <v>704.55555555555554</v>
      </c>
      <c r="H49" s="81"/>
      <c r="I49" s="80">
        <v>8520</v>
      </c>
      <c r="J49" s="82">
        <f t="shared" si="18"/>
        <v>710</v>
      </c>
      <c r="K49" s="104"/>
      <c r="L49">
        <f t="shared" si="20"/>
        <v>8518.0766666666659</v>
      </c>
    </row>
    <row r="50" spans="1:18" x14ac:dyDescent="0.25">
      <c r="A50" s="44" t="s">
        <v>496</v>
      </c>
      <c r="B50" s="44"/>
      <c r="C50" s="118"/>
      <c r="D50" s="45">
        <v>500</v>
      </c>
      <c r="E50" s="46">
        <v>3895</v>
      </c>
      <c r="F50" s="46">
        <f t="shared" ref="F50:F52" si="21">E50/9</f>
        <v>432.77777777777777</v>
      </c>
      <c r="G50" s="81">
        <f t="shared" si="19"/>
        <v>432.77777777777777</v>
      </c>
      <c r="H50" s="81"/>
      <c r="I50" s="57">
        <v>5230</v>
      </c>
      <c r="J50" s="58">
        <f t="shared" si="18"/>
        <v>435.83333333333331</v>
      </c>
      <c r="K50" s="101"/>
      <c r="L50">
        <f t="shared" si="20"/>
        <v>5232.2833333333328</v>
      </c>
      <c r="M50" s="104"/>
      <c r="N50" s="104"/>
      <c r="O50" s="104"/>
      <c r="P50" s="104"/>
      <c r="Q50" s="104"/>
      <c r="R50" s="104"/>
    </row>
    <row r="51" spans="1:18" x14ac:dyDescent="0.25">
      <c r="A51" s="44" t="s">
        <v>497</v>
      </c>
      <c r="B51" s="44"/>
      <c r="C51" s="118"/>
      <c r="D51" s="45">
        <v>2800</v>
      </c>
      <c r="E51" s="46">
        <v>1581</v>
      </c>
      <c r="F51" s="46">
        <f t="shared" si="21"/>
        <v>175.66666666666666</v>
      </c>
      <c r="G51" s="81">
        <f t="shared" si="19"/>
        <v>175.66666666666666</v>
      </c>
      <c r="H51" s="81"/>
      <c r="I51" s="57">
        <v>2120</v>
      </c>
      <c r="J51" s="58">
        <f t="shared" si="18"/>
        <v>176.66666666666666</v>
      </c>
      <c r="K51" s="101"/>
      <c r="L51">
        <f t="shared" si="20"/>
        <v>2123.81</v>
      </c>
      <c r="M51" s="104"/>
      <c r="N51" s="104"/>
      <c r="O51" s="104"/>
      <c r="P51" s="104"/>
      <c r="Q51" s="104"/>
      <c r="R51" s="104"/>
    </row>
    <row r="52" spans="1:18" x14ac:dyDescent="0.25">
      <c r="A52" s="44" t="s">
        <v>551</v>
      </c>
      <c r="B52" s="44"/>
      <c r="C52" s="118"/>
      <c r="D52" s="45">
        <v>3000</v>
      </c>
      <c r="E52" s="46">
        <v>1529</v>
      </c>
      <c r="F52" s="46">
        <f t="shared" si="21"/>
        <v>169.88888888888889</v>
      </c>
      <c r="G52" s="81">
        <f t="shared" si="19"/>
        <v>169.88888888888889</v>
      </c>
      <c r="H52" s="81"/>
      <c r="I52" s="57">
        <v>3550</v>
      </c>
      <c r="J52" s="58">
        <f t="shared" si="18"/>
        <v>295.83333333333331</v>
      </c>
      <c r="K52" s="101" t="s">
        <v>606</v>
      </c>
      <c r="L52">
        <f t="shared" si="20"/>
        <v>2053.9566666666665</v>
      </c>
      <c r="M52" s="104"/>
      <c r="N52" s="104"/>
      <c r="O52" s="104"/>
      <c r="P52" s="104"/>
      <c r="Q52" s="104"/>
      <c r="R52" s="104"/>
    </row>
    <row r="53" spans="1:18" x14ac:dyDescent="0.25">
      <c r="A53" s="44" t="s">
        <v>249</v>
      </c>
      <c r="B53" s="44">
        <v>3</v>
      </c>
      <c r="C53" s="45">
        <f>13564.66+503</f>
        <v>14067.66</v>
      </c>
      <c r="D53" s="45">
        <v>6340</v>
      </c>
      <c r="E53" s="45">
        <v>3727</v>
      </c>
      <c r="F53" s="80">
        <f t="shared" si="17"/>
        <v>190.2</v>
      </c>
      <c r="G53" s="81">
        <f t="shared" si="19"/>
        <v>414.11111111111109</v>
      </c>
      <c r="H53" s="81"/>
      <c r="I53" s="80">
        <v>5010</v>
      </c>
      <c r="J53" s="82">
        <f t="shared" si="18"/>
        <v>417.5</v>
      </c>
      <c r="K53" s="104"/>
      <c r="L53">
        <f t="shared" si="20"/>
        <v>5006.6033333333335</v>
      </c>
    </row>
    <row r="54" spans="1:18" x14ac:dyDescent="0.25">
      <c r="A54" s="44" t="s">
        <v>250</v>
      </c>
      <c r="B54" s="44">
        <v>3</v>
      </c>
      <c r="C54" s="52">
        <f>6630.96+9</f>
        <v>6639.96</v>
      </c>
      <c r="D54" s="52">
        <v>3160</v>
      </c>
      <c r="E54" s="52">
        <v>1965</v>
      </c>
      <c r="F54" s="83">
        <f t="shared" si="17"/>
        <v>94.8</v>
      </c>
      <c r="G54" s="84">
        <f>E54/9</f>
        <v>218.33333333333334</v>
      </c>
      <c r="H54" s="81"/>
      <c r="I54" s="83">
        <v>3350</v>
      </c>
      <c r="J54" s="85">
        <f t="shared" si="18"/>
        <v>279.16666666666669</v>
      </c>
      <c r="K54" s="101" t="s">
        <v>600</v>
      </c>
      <c r="L54">
        <f t="shared" si="20"/>
        <v>2639.65</v>
      </c>
    </row>
    <row r="55" spans="1:18" x14ac:dyDescent="0.25">
      <c r="A55" s="75" t="s">
        <v>84</v>
      </c>
      <c r="B55" s="44"/>
      <c r="C55" s="45">
        <f>SUM(C44:C54)</f>
        <v>85862.87000000001</v>
      </c>
      <c r="D55" s="45">
        <f t="shared" ref="D55:E55" si="22">SUM(D44:D54)</f>
        <v>36490</v>
      </c>
      <c r="E55" s="45">
        <f t="shared" si="22"/>
        <v>32368</v>
      </c>
      <c r="F55" s="90">
        <f>SUM(F44:F54)</f>
        <v>1684.0333333333333</v>
      </c>
      <c r="G55" s="91">
        <f>SUM(G44:G54)</f>
        <v>3596.4444444444439</v>
      </c>
      <c r="H55" s="91"/>
      <c r="I55" s="90">
        <f t="shared" ref="I55:J55" si="23">SUM(I44:I54)</f>
        <v>46140</v>
      </c>
      <c r="J55" s="92">
        <f t="shared" si="23"/>
        <v>3845</v>
      </c>
      <c r="K55" s="104"/>
    </row>
    <row r="56" spans="1:18" x14ac:dyDescent="0.25">
      <c r="A56" s="44"/>
      <c r="B56" s="44"/>
      <c r="C56" s="59"/>
      <c r="D56" s="59"/>
      <c r="E56" s="59"/>
      <c r="F56" s="86"/>
      <c r="G56" s="87"/>
      <c r="H56" s="87"/>
      <c r="I56" s="80"/>
      <c r="J56" s="89"/>
      <c r="K56" s="104"/>
    </row>
    <row r="57" spans="1:18" x14ac:dyDescent="0.25">
      <c r="A57" s="75" t="s">
        <v>452</v>
      </c>
      <c r="B57" s="44"/>
      <c r="C57" s="59"/>
      <c r="D57" s="59"/>
      <c r="E57" s="59"/>
      <c r="F57" s="86"/>
      <c r="G57" s="87"/>
      <c r="H57" s="87"/>
      <c r="I57" s="80"/>
      <c r="J57" s="89"/>
      <c r="K57" s="104"/>
    </row>
    <row r="58" spans="1:18" x14ac:dyDescent="0.25">
      <c r="A58" s="44" t="s">
        <v>42</v>
      </c>
      <c r="B58" s="44">
        <v>3</v>
      </c>
      <c r="C58" s="45">
        <f>224.88-29</f>
        <v>195.88</v>
      </c>
      <c r="D58" s="45">
        <v>880</v>
      </c>
      <c r="E58" s="45">
        <v>69</v>
      </c>
      <c r="F58" s="80">
        <v>0</v>
      </c>
      <c r="G58" s="81">
        <f>E58/9</f>
        <v>7.666666666666667</v>
      </c>
      <c r="H58" s="81"/>
      <c r="I58" s="80">
        <v>770</v>
      </c>
      <c r="J58" s="82">
        <f t="shared" ref="J58:J64" si="24">I58/12</f>
        <v>64.166666666666671</v>
      </c>
      <c r="K58" s="101" t="s">
        <v>425</v>
      </c>
      <c r="L58">
        <f>SUM($I$23+$I$53)*7.65%</f>
        <v>768.06</v>
      </c>
      <c r="N58" s="34">
        <v>7.6499999999999999E-2</v>
      </c>
    </row>
    <row r="59" spans="1:18" x14ac:dyDescent="0.25">
      <c r="A59" s="44" t="s">
        <v>251</v>
      </c>
      <c r="B59" s="44">
        <v>3</v>
      </c>
      <c r="C59" s="45">
        <f>8887.76+911</f>
        <v>9798.76</v>
      </c>
      <c r="D59" s="45">
        <v>2870</v>
      </c>
      <c r="E59" s="45">
        <v>4343</v>
      </c>
      <c r="F59" s="80">
        <f>D59*$N$59</f>
        <v>143.5</v>
      </c>
      <c r="G59" s="81">
        <f t="shared" ref="G59:G63" si="25">E59/9</f>
        <v>482.55555555555554</v>
      </c>
      <c r="H59" s="81"/>
      <c r="I59" s="80">
        <v>5870</v>
      </c>
      <c r="J59" s="82">
        <f t="shared" si="24"/>
        <v>489.16666666666669</v>
      </c>
      <c r="K59" s="101" t="s">
        <v>422</v>
      </c>
      <c r="L59">
        <f>SUM(E59)+(G59*3)*1.05</f>
        <v>5863.05</v>
      </c>
      <c r="N59" s="31">
        <v>0.05</v>
      </c>
    </row>
    <row r="60" spans="1:18" x14ac:dyDescent="0.25">
      <c r="A60" s="44" t="s">
        <v>59</v>
      </c>
      <c r="B60" s="44">
        <v>3</v>
      </c>
      <c r="C60" s="45">
        <f>1897.68+1287</f>
        <v>3184.6800000000003</v>
      </c>
      <c r="D60" s="45">
        <v>3420</v>
      </c>
      <c r="E60" s="45">
        <v>218</v>
      </c>
      <c r="F60" s="80">
        <v>0</v>
      </c>
      <c r="G60" s="81">
        <f t="shared" si="25"/>
        <v>24.222222222222221</v>
      </c>
      <c r="H60" s="81"/>
      <c r="I60" s="80">
        <v>3010</v>
      </c>
      <c r="J60" s="82">
        <f t="shared" si="24"/>
        <v>250.83333333333334</v>
      </c>
      <c r="K60" s="101" t="s">
        <v>502</v>
      </c>
      <c r="L60">
        <f>SUM($I$23+$I$53)*30%</f>
        <v>3012</v>
      </c>
      <c r="N60" s="31">
        <v>0.3</v>
      </c>
    </row>
    <row r="61" spans="1:18" x14ac:dyDescent="0.25">
      <c r="A61" s="44" t="s">
        <v>225</v>
      </c>
      <c r="B61" s="44">
        <v>3</v>
      </c>
      <c r="C61" s="45">
        <f>278.8-163</f>
        <v>115.80000000000001</v>
      </c>
      <c r="D61" s="45">
        <v>390</v>
      </c>
      <c r="E61" s="45">
        <v>595</v>
      </c>
      <c r="F61" s="80">
        <f>D61*$N$7</f>
        <v>11.7</v>
      </c>
      <c r="G61" s="81">
        <f t="shared" si="25"/>
        <v>66.111111111111114</v>
      </c>
      <c r="H61" s="81"/>
      <c r="I61" s="80">
        <v>300</v>
      </c>
      <c r="J61" s="82">
        <f t="shared" si="24"/>
        <v>25</v>
      </c>
      <c r="K61" s="101" t="s">
        <v>543</v>
      </c>
      <c r="L61">
        <f>SUM($I$23+$I$53)*3%</f>
        <v>301.2</v>
      </c>
    </row>
    <row r="62" spans="1:18" x14ac:dyDescent="0.25">
      <c r="A62" s="44" t="s">
        <v>252</v>
      </c>
      <c r="B62" s="44">
        <v>3</v>
      </c>
      <c r="C62" s="45">
        <f>799+17</f>
        <v>816</v>
      </c>
      <c r="D62" s="45">
        <v>620</v>
      </c>
      <c r="E62" s="45">
        <v>1061</v>
      </c>
      <c r="F62" s="80">
        <f>D62*$N$7</f>
        <v>18.599999999999998</v>
      </c>
      <c r="G62" s="81">
        <f t="shared" si="25"/>
        <v>117.88888888888889</v>
      </c>
      <c r="H62" s="81"/>
      <c r="I62" s="80">
        <v>1420</v>
      </c>
      <c r="J62" s="82">
        <f t="shared" si="24"/>
        <v>118.33333333333333</v>
      </c>
      <c r="L62">
        <f t="shared" ref="L62" si="26">SUM(E62)+(G62*3)*1.03</f>
        <v>1425.2766666666666</v>
      </c>
    </row>
    <row r="63" spans="1:18" x14ac:dyDescent="0.25">
      <c r="A63" s="44" t="s">
        <v>70</v>
      </c>
      <c r="B63" s="44"/>
      <c r="C63" s="45"/>
      <c r="D63" s="45">
        <v>0</v>
      </c>
      <c r="E63" s="45">
        <v>807</v>
      </c>
      <c r="F63" s="80"/>
      <c r="G63" s="81">
        <f t="shared" si="25"/>
        <v>89.666666666666671</v>
      </c>
      <c r="H63" s="81"/>
      <c r="I63" s="80">
        <v>300</v>
      </c>
      <c r="J63" s="82">
        <f t="shared" si="24"/>
        <v>25</v>
      </c>
      <c r="K63" s="104"/>
    </row>
    <row r="64" spans="1:18" x14ac:dyDescent="0.25">
      <c r="A64" s="44" t="s">
        <v>62</v>
      </c>
      <c r="B64" s="44">
        <v>3</v>
      </c>
      <c r="C64" s="52">
        <f>124427.13+1690</f>
        <v>126117.13</v>
      </c>
      <c r="D64" s="52">
        <v>48940</v>
      </c>
      <c r="E64" s="52">
        <v>36635</v>
      </c>
      <c r="F64" s="83">
        <v>0</v>
      </c>
      <c r="G64" s="84">
        <f>E64/9</f>
        <v>4070.5555555555557</v>
      </c>
      <c r="H64" s="81"/>
      <c r="I64" s="83">
        <v>48850</v>
      </c>
      <c r="J64" s="85">
        <f t="shared" si="24"/>
        <v>4070.8333333333335</v>
      </c>
      <c r="K64" s="101" t="s">
        <v>253</v>
      </c>
    </row>
    <row r="65" spans="1:11" x14ac:dyDescent="0.25">
      <c r="A65" s="75" t="s">
        <v>85</v>
      </c>
      <c r="B65" s="44"/>
      <c r="C65" s="45">
        <f t="shared" ref="C65:J65" si="27">SUM(C58:C64)</f>
        <v>140228.25</v>
      </c>
      <c r="D65" s="45">
        <f t="shared" si="27"/>
        <v>57120</v>
      </c>
      <c r="E65" s="45">
        <f t="shared" si="27"/>
        <v>43728</v>
      </c>
      <c r="F65" s="86">
        <f t="shared" si="27"/>
        <v>173.79999999999998</v>
      </c>
      <c r="G65" s="87">
        <f>SUM(G58:G64)</f>
        <v>4858.666666666667</v>
      </c>
      <c r="H65" s="87"/>
      <c r="I65" s="86">
        <f t="shared" si="27"/>
        <v>60520</v>
      </c>
      <c r="J65" s="88">
        <f t="shared" si="27"/>
        <v>5043.3333333333339</v>
      </c>
      <c r="K65" s="104"/>
    </row>
    <row r="66" spans="1:11" x14ac:dyDescent="0.25">
      <c r="A66" s="75"/>
      <c r="B66" s="44"/>
      <c r="C66" s="59"/>
      <c r="D66" s="59"/>
      <c r="E66" s="59"/>
      <c r="F66" s="86"/>
      <c r="G66" s="87"/>
      <c r="H66" s="87"/>
      <c r="I66" s="80"/>
      <c r="J66" s="89"/>
      <c r="K66" s="104"/>
    </row>
    <row r="67" spans="1:11" x14ac:dyDescent="0.25">
      <c r="A67" s="75" t="s">
        <v>78</v>
      </c>
      <c r="B67" s="44"/>
      <c r="C67" s="59"/>
      <c r="D67" s="59"/>
      <c r="E67" s="59"/>
      <c r="F67" s="86"/>
      <c r="G67" s="87"/>
      <c r="H67" s="87"/>
      <c r="I67" s="80"/>
      <c r="J67" s="89"/>
      <c r="K67" s="104"/>
    </row>
    <row r="68" spans="1:11" x14ac:dyDescent="0.25">
      <c r="A68" s="44" t="s">
        <v>63</v>
      </c>
      <c r="B68" s="44">
        <v>3</v>
      </c>
      <c r="C68" s="52">
        <f>18900-203</f>
        <v>18697</v>
      </c>
      <c r="D68" s="52">
        <v>6300</v>
      </c>
      <c r="E68" s="52">
        <v>4725</v>
      </c>
      <c r="F68" s="83">
        <v>0</v>
      </c>
      <c r="G68" s="84">
        <f>E68/9</f>
        <v>525</v>
      </c>
      <c r="H68" s="81"/>
      <c r="I68" s="83">
        <v>12600</v>
      </c>
      <c r="J68" s="85">
        <f t="shared" ref="J68" si="28">I68/12</f>
        <v>1050</v>
      </c>
      <c r="K68" s="101" t="s">
        <v>629</v>
      </c>
    </row>
    <row r="69" spans="1:11" x14ac:dyDescent="0.25">
      <c r="A69" s="75" t="s">
        <v>86</v>
      </c>
      <c r="B69" s="44"/>
      <c r="C69" s="45">
        <f>SUM(C68)</f>
        <v>18697</v>
      </c>
      <c r="D69" s="45">
        <f t="shared" ref="D69:J69" si="29">SUM(D68)</f>
        <v>6300</v>
      </c>
      <c r="E69" s="45">
        <f t="shared" si="29"/>
        <v>4725</v>
      </c>
      <c r="F69" s="80">
        <f t="shared" si="29"/>
        <v>0</v>
      </c>
      <c r="G69" s="81">
        <f>SUM(G68)</f>
        <v>525</v>
      </c>
      <c r="H69" s="81"/>
      <c r="I69" s="80">
        <f t="shared" si="29"/>
        <v>12600</v>
      </c>
      <c r="J69" s="82">
        <f t="shared" si="29"/>
        <v>1050</v>
      </c>
      <c r="K69" s="104"/>
    </row>
    <row r="70" spans="1:11" x14ac:dyDescent="0.25">
      <c r="A70" s="44"/>
      <c r="B70" s="44"/>
      <c r="C70" s="44"/>
      <c r="D70" s="44"/>
      <c r="E70" s="44"/>
      <c r="F70" s="93"/>
      <c r="G70" s="94"/>
      <c r="H70" s="94"/>
      <c r="I70" s="93"/>
      <c r="J70" s="95"/>
      <c r="K70" s="104"/>
    </row>
    <row r="71" spans="1:11" x14ac:dyDescent="0.25">
      <c r="A71" s="75" t="s">
        <v>453</v>
      </c>
      <c r="B71" s="44"/>
      <c r="C71" s="44"/>
      <c r="D71" s="44"/>
      <c r="E71" s="44"/>
      <c r="F71" s="93"/>
      <c r="G71" s="94"/>
      <c r="H71" s="94"/>
      <c r="I71" s="93"/>
      <c r="J71" s="95"/>
      <c r="K71" s="104"/>
    </row>
    <row r="72" spans="1:11" x14ac:dyDescent="0.25">
      <c r="A72" s="44" t="s">
        <v>291</v>
      </c>
      <c r="B72" s="44">
        <v>3</v>
      </c>
      <c r="C72" s="45">
        <v>0</v>
      </c>
      <c r="D72" s="45">
        <v>2500</v>
      </c>
      <c r="E72" s="45">
        <v>0</v>
      </c>
      <c r="F72" s="80">
        <v>0</v>
      </c>
      <c r="G72" s="81">
        <f t="shared" ref="G72:G76" si="30">E72/9</f>
        <v>0</v>
      </c>
      <c r="H72" s="81"/>
      <c r="I72" s="80">
        <v>4500</v>
      </c>
      <c r="J72" s="82">
        <f t="shared" ref="J72:J79" si="31">I72/12</f>
        <v>375</v>
      </c>
      <c r="K72" s="101" t="s">
        <v>611</v>
      </c>
    </row>
    <row r="73" spans="1:11" hidden="1" x14ac:dyDescent="0.25">
      <c r="A73" s="44" t="s">
        <v>255</v>
      </c>
      <c r="B73" s="44">
        <v>3</v>
      </c>
      <c r="C73" s="45">
        <v>21000</v>
      </c>
      <c r="D73" s="45">
        <v>0</v>
      </c>
      <c r="E73" s="45">
        <f t="shared" ref="E73:E77" si="32">D73/12</f>
        <v>0</v>
      </c>
      <c r="F73" s="80">
        <f t="shared" ref="F73:F77" si="33">D73*$N$7</f>
        <v>0</v>
      </c>
      <c r="G73" s="81">
        <f t="shared" si="30"/>
        <v>0</v>
      </c>
      <c r="H73" s="81"/>
      <c r="I73" s="80">
        <v>0</v>
      </c>
      <c r="J73" s="82">
        <f t="shared" si="31"/>
        <v>0</v>
      </c>
      <c r="K73" s="104"/>
    </row>
    <row r="74" spans="1:11" hidden="1" x14ac:dyDescent="0.25">
      <c r="A74" s="44" t="s">
        <v>256</v>
      </c>
      <c r="B74" s="44">
        <v>3</v>
      </c>
      <c r="C74" s="45">
        <v>0</v>
      </c>
      <c r="D74" s="45">
        <v>0</v>
      </c>
      <c r="E74" s="45">
        <v>0</v>
      </c>
      <c r="F74" s="80">
        <v>0</v>
      </c>
      <c r="G74" s="81">
        <f t="shared" si="30"/>
        <v>0</v>
      </c>
      <c r="H74" s="81"/>
      <c r="I74" s="80">
        <v>0</v>
      </c>
      <c r="J74" s="82">
        <f t="shared" si="31"/>
        <v>0</v>
      </c>
      <c r="K74" s="101"/>
    </row>
    <row r="75" spans="1:11" x14ac:dyDescent="0.25">
      <c r="A75" s="44" t="s">
        <v>257</v>
      </c>
      <c r="B75" s="44">
        <v>3</v>
      </c>
      <c r="C75" s="45">
        <v>2620</v>
      </c>
      <c r="D75" s="45">
        <v>2300</v>
      </c>
      <c r="E75" s="45">
        <v>1525</v>
      </c>
      <c r="F75" s="80">
        <f t="shared" si="33"/>
        <v>69</v>
      </c>
      <c r="G75" s="81">
        <f t="shared" si="30"/>
        <v>169.44444444444446</v>
      </c>
      <c r="H75" s="81"/>
      <c r="I75" s="80">
        <v>4500</v>
      </c>
      <c r="J75" s="82">
        <f t="shared" si="31"/>
        <v>375</v>
      </c>
      <c r="K75" s="101" t="s">
        <v>605</v>
      </c>
    </row>
    <row r="76" spans="1:11" hidden="1" x14ac:dyDescent="0.25">
      <c r="A76" s="44" t="s">
        <v>258</v>
      </c>
      <c r="B76" s="44">
        <v>3</v>
      </c>
      <c r="C76" s="45">
        <f>984+7</f>
        <v>991</v>
      </c>
      <c r="D76" s="45">
        <v>0</v>
      </c>
      <c r="E76" s="45">
        <v>0</v>
      </c>
      <c r="F76" s="80">
        <f t="shared" si="33"/>
        <v>0</v>
      </c>
      <c r="G76" s="81">
        <f t="shared" si="30"/>
        <v>0</v>
      </c>
      <c r="H76" s="81"/>
      <c r="I76" s="80">
        <f t="shared" ref="I76:I77" si="34">D76+F76</f>
        <v>0</v>
      </c>
      <c r="J76" s="82">
        <f t="shared" si="31"/>
        <v>0</v>
      </c>
      <c r="K76" s="104"/>
    </row>
    <row r="77" spans="1:11" hidden="1" x14ac:dyDescent="0.25">
      <c r="A77" s="44" t="s">
        <v>64</v>
      </c>
      <c r="B77" s="44">
        <v>3</v>
      </c>
      <c r="C77" s="45">
        <v>0</v>
      </c>
      <c r="D77" s="45">
        <f t="shared" ref="D77" si="35">C77/3</f>
        <v>0</v>
      </c>
      <c r="E77" s="45">
        <f t="shared" si="32"/>
        <v>0</v>
      </c>
      <c r="F77" s="80">
        <f t="shared" si="33"/>
        <v>0</v>
      </c>
      <c r="G77" s="81"/>
      <c r="H77" s="81"/>
      <c r="I77" s="80">
        <f t="shared" si="34"/>
        <v>0</v>
      </c>
      <c r="J77" s="82">
        <f t="shared" si="31"/>
        <v>0</v>
      </c>
      <c r="K77" s="104"/>
    </row>
    <row r="78" spans="1:11" hidden="1" x14ac:dyDescent="0.25">
      <c r="A78" s="44" t="s">
        <v>26</v>
      </c>
      <c r="B78" s="44">
        <v>3</v>
      </c>
      <c r="C78" s="45">
        <v>1020</v>
      </c>
      <c r="D78" s="45">
        <v>0</v>
      </c>
      <c r="E78" s="45">
        <v>0</v>
      </c>
      <c r="F78" s="80">
        <v>0</v>
      </c>
      <c r="G78" s="81">
        <f t="shared" ref="G78:G79" si="36">E78/9</f>
        <v>0</v>
      </c>
      <c r="H78" s="81"/>
      <c r="I78" s="80">
        <v>0</v>
      </c>
      <c r="J78" s="82">
        <f t="shared" si="31"/>
        <v>0</v>
      </c>
      <c r="K78" s="104"/>
    </row>
    <row r="79" spans="1:11" x14ac:dyDescent="0.25">
      <c r="A79" s="44" t="s">
        <v>259</v>
      </c>
      <c r="B79" s="44">
        <v>3</v>
      </c>
      <c r="C79" s="52">
        <v>0</v>
      </c>
      <c r="D79" s="52">
        <v>35000</v>
      </c>
      <c r="E79" s="52">
        <v>0</v>
      </c>
      <c r="F79" s="83">
        <v>0</v>
      </c>
      <c r="G79" s="84">
        <f t="shared" si="36"/>
        <v>0</v>
      </c>
      <c r="H79" s="81"/>
      <c r="I79" s="83">
        <v>0</v>
      </c>
      <c r="J79" s="85">
        <f t="shared" si="31"/>
        <v>0</v>
      </c>
      <c r="K79" s="101"/>
    </row>
    <row r="80" spans="1:11" s="26" customFormat="1" ht="15.75" thickBot="1" x14ac:dyDescent="0.3">
      <c r="A80" s="75" t="s">
        <v>87</v>
      </c>
      <c r="B80" s="96"/>
      <c r="C80" s="45">
        <f>SUM(C72:C79)</f>
        <v>25631</v>
      </c>
      <c r="D80" s="45">
        <f t="shared" ref="D80:E80" si="37">SUM(D72:D79)</f>
        <v>39800</v>
      </c>
      <c r="E80" s="45">
        <f t="shared" si="37"/>
        <v>1525</v>
      </c>
      <c r="F80" s="97">
        <f>SUM(F70:F79)</f>
        <v>69</v>
      </c>
      <c r="G80" s="81">
        <f>SUM(G78:G79)</f>
        <v>0</v>
      </c>
      <c r="H80" s="81"/>
      <c r="I80" s="97">
        <f>SUM(I72:I79)</f>
        <v>9000</v>
      </c>
      <c r="J80" s="98">
        <f>SUM(J70:J79)</f>
        <v>750</v>
      </c>
      <c r="K80" s="96"/>
    </row>
    <row r="81" spans="11:11" x14ac:dyDescent="0.25">
      <c r="K81" s="104"/>
    </row>
  </sheetData>
  <customSheetViews>
    <customSheetView guid="{D54A66AC-88E3-46FB-AFE3-2E559F565FEB}" scale="80" hiddenRows="1" hiddenColumns="1">
      <pane xSplit="1" ySplit="4" topLeftCell="B48" activePane="bottomRight" state="frozen"/>
      <selection pane="bottomRight" activeCell="P39" sqref="P39"/>
      <pageMargins left="0.75" right="0.75" top="1" bottom="1" header="0.5" footer="0.5"/>
      <pageSetup scale="48" fitToHeight="2" orientation="portrait" r:id="rId1"/>
      <headerFooter alignWithMargins="0"/>
    </customSheetView>
  </customSheetViews>
  <mergeCells count="1">
    <mergeCell ref="I1:J1"/>
  </mergeCells>
  <pageMargins left="0.75" right="0.75" top="1" bottom="1" header="0.5" footer="0.5"/>
  <pageSetup scale="48" fitToHeight="2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8"/>
  <sheetViews>
    <sheetView zoomScale="80" zoomScaleNormal="80" workbookViewId="0">
      <pane xSplit="3" ySplit="4" topLeftCell="D26" activePane="bottomRight" state="frozen"/>
      <selection activeCell="A180" sqref="A180"/>
      <selection pane="topRight" activeCell="A180" sqref="A180"/>
      <selection pane="bottomLeft" activeCell="A180" sqref="A180"/>
      <selection pane="bottomRight" activeCell="L1" sqref="L1:P1048576"/>
    </sheetView>
  </sheetViews>
  <sheetFormatPr defaultRowHeight="15" x14ac:dyDescent="0.25"/>
  <cols>
    <col min="1" max="1" width="61.5703125" bestFit="1" customWidth="1"/>
    <col min="2" max="2" width="9.140625" hidden="1" customWidth="1"/>
    <col min="3" max="3" width="14" hidden="1" customWidth="1"/>
    <col min="4" max="4" width="15.42578125" bestFit="1" customWidth="1"/>
    <col min="5" max="5" width="12.85546875" bestFit="1" customWidth="1"/>
    <col min="6" max="6" width="11.5703125" customWidth="1"/>
    <col min="7" max="7" width="3.42578125" customWidth="1"/>
    <col min="8" max="8" width="0" hidden="1" customWidth="1"/>
    <col min="9" max="9" width="25" customWidth="1"/>
    <col min="10" max="10" width="12.85546875" bestFit="1" customWidth="1"/>
    <col min="11" max="11" width="58" customWidth="1"/>
    <col min="12" max="12" width="13" hidden="1" customWidth="1"/>
    <col min="13" max="16" width="0" hidden="1" customWidth="1"/>
  </cols>
  <sheetData>
    <row r="1" spans="1:17" ht="18.75" x14ac:dyDescent="0.3">
      <c r="A1" s="104"/>
      <c r="B1" s="104"/>
      <c r="C1" s="104"/>
      <c r="D1" s="104"/>
      <c r="E1" s="104"/>
      <c r="F1" s="104"/>
      <c r="G1" s="104"/>
      <c r="H1" s="104"/>
      <c r="I1" s="124" t="str">
        <f>Glendale!I1</f>
        <v>Projected Annual Budget 2017</v>
      </c>
      <c r="J1" s="125"/>
      <c r="K1" s="108"/>
      <c r="L1" s="104"/>
      <c r="M1" s="104"/>
      <c r="N1" s="104"/>
      <c r="O1" s="104"/>
      <c r="P1" s="104"/>
      <c r="Q1" s="104"/>
    </row>
    <row r="2" spans="1:17" x14ac:dyDescent="0.25">
      <c r="A2" s="104"/>
      <c r="B2" s="104"/>
      <c r="C2" s="104"/>
      <c r="D2" s="104"/>
      <c r="E2" s="104"/>
      <c r="F2" s="104"/>
      <c r="G2" s="104"/>
      <c r="H2" s="104"/>
      <c r="I2" s="100" t="s">
        <v>391</v>
      </c>
      <c r="J2" s="95"/>
      <c r="K2" s="101" t="s">
        <v>593</v>
      </c>
      <c r="L2" s="104"/>
      <c r="M2" s="104"/>
      <c r="N2" s="104"/>
      <c r="O2" s="104"/>
      <c r="P2" s="104"/>
      <c r="Q2" s="104"/>
    </row>
    <row r="3" spans="1:17" ht="21" thickBot="1" x14ac:dyDescent="0.35">
      <c r="A3" s="99" t="s">
        <v>663</v>
      </c>
      <c r="B3" s="104"/>
      <c r="C3" s="104"/>
      <c r="D3" s="109"/>
      <c r="E3" s="104"/>
      <c r="F3" s="104"/>
      <c r="G3" s="104"/>
      <c r="H3" s="104"/>
      <c r="I3" s="110"/>
      <c r="J3" s="95"/>
      <c r="K3" s="101" t="s">
        <v>653</v>
      </c>
      <c r="L3" s="104"/>
      <c r="M3" s="104"/>
      <c r="N3" s="104"/>
      <c r="O3" s="104"/>
      <c r="P3" s="104"/>
      <c r="Q3" s="104"/>
    </row>
    <row r="4" spans="1:17" s="29" customFormat="1" ht="45.75" thickBot="1" x14ac:dyDescent="0.3">
      <c r="A4" s="39" t="s">
        <v>71</v>
      </c>
      <c r="B4" s="39" t="s">
        <v>72</v>
      </c>
      <c r="C4" s="39" t="s">
        <v>73</v>
      </c>
      <c r="D4" s="40" t="str">
        <f>Glendale!D4</f>
        <v>2016 Annual Budget</v>
      </c>
      <c r="E4" s="40" t="str">
        <f>Glendale!E4</f>
        <v>YTD Actual FY 2016 @ 9/30/16</v>
      </c>
      <c r="F4" s="40" t="str">
        <f>Glendale!F4</f>
        <v>FY 2016 - 9 month Avg</v>
      </c>
      <c r="G4" s="126"/>
      <c r="H4" s="111"/>
      <c r="I4" s="132" t="s">
        <v>427</v>
      </c>
      <c r="J4" s="43" t="s">
        <v>428</v>
      </c>
      <c r="K4" s="133"/>
      <c r="L4" s="41"/>
      <c r="M4" s="41"/>
      <c r="N4" s="41"/>
      <c r="O4" s="168"/>
      <c r="P4" s="168"/>
      <c r="Q4" s="168"/>
    </row>
    <row r="5" spans="1:17" x14ac:dyDescent="0.25">
      <c r="A5" s="44" t="s">
        <v>33</v>
      </c>
      <c r="B5" s="44">
        <v>3</v>
      </c>
      <c r="C5" s="44">
        <v>-957647.01666666672</v>
      </c>
      <c r="D5" s="46">
        <v>491640</v>
      </c>
      <c r="E5" s="46">
        <v>393720</v>
      </c>
      <c r="F5" s="46">
        <f t="shared" ref="F5:F11" si="0">E5/9</f>
        <v>43746.666666666664</v>
      </c>
      <c r="G5" s="46"/>
      <c r="H5" s="134">
        <v>0</v>
      </c>
      <c r="I5" s="169">
        <v>528900</v>
      </c>
      <c r="J5" s="170">
        <f>I5/12</f>
        <v>44075</v>
      </c>
      <c r="K5" s="152"/>
      <c r="L5" s="104">
        <f t="shared" ref="L5:L14" si="1">SUM(E5)+(F5*3)*1.03</f>
        <v>528897.19999999995</v>
      </c>
      <c r="M5" s="104"/>
      <c r="N5" s="104"/>
      <c r="O5" s="104"/>
      <c r="P5" s="104"/>
      <c r="Q5" s="104"/>
    </row>
    <row r="6" spans="1:17" x14ac:dyDescent="0.25">
      <c r="A6" s="44" t="s">
        <v>237</v>
      </c>
      <c r="B6" s="44">
        <v>3</v>
      </c>
      <c r="C6" s="44">
        <f>-1205.27-9659</f>
        <v>-10864.27</v>
      </c>
      <c r="D6" s="46">
        <v>6130</v>
      </c>
      <c r="E6" s="46">
        <v>4612</v>
      </c>
      <c r="F6" s="46">
        <f t="shared" si="0"/>
        <v>512.44444444444446</v>
      </c>
      <c r="G6" s="46"/>
      <c r="H6" s="57">
        <f>D6*$M$9</f>
        <v>183.9</v>
      </c>
      <c r="I6" s="135">
        <v>6200</v>
      </c>
      <c r="J6" s="58">
        <f t="shared" ref="J6:J14" si="2">I6/12</f>
        <v>516.66666666666663</v>
      </c>
      <c r="K6" s="104"/>
      <c r="L6" s="104">
        <f t="shared" si="1"/>
        <v>6195.4533333333338</v>
      </c>
      <c r="M6" s="109" t="s">
        <v>74</v>
      </c>
      <c r="N6" s="104"/>
      <c r="O6" s="104"/>
      <c r="P6" s="104"/>
      <c r="Q6" s="104"/>
    </row>
    <row r="7" spans="1:17" x14ac:dyDescent="0.25">
      <c r="A7" s="44" t="s">
        <v>209</v>
      </c>
      <c r="B7" s="44">
        <v>3</v>
      </c>
      <c r="C7" s="44">
        <f>-21244.47-6689</f>
        <v>-27933.47</v>
      </c>
      <c r="D7" s="46">
        <v>9490</v>
      </c>
      <c r="E7" s="46">
        <v>7326</v>
      </c>
      <c r="F7" s="46">
        <f t="shared" si="0"/>
        <v>814</v>
      </c>
      <c r="G7" s="46"/>
      <c r="H7" s="57">
        <f>D7*$M$9</f>
        <v>284.7</v>
      </c>
      <c r="I7" s="135">
        <v>9840</v>
      </c>
      <c r="J7" s="58">
        <f t="shared" si="2"/>
        <v>820</v>
      </c>
      <c r="K7" s="101"/>
      <c r="L7" s="104">
        <f t="shared" si="1"/>
        <v>9841.26</v>
      </c>
      <c r="M7" s="152">
        <v>0.05</v>
      </c>
      <c r="N7" s="104"/>
      <c r="O7" s="104"/>
      <c r="P7" s="104"/>
      <c r="Q7" s="104"/>
    </row>
    <row r="8" spans="1:17" x14ac:dyDescent="0.25">
      <c r="A8" s="44" t="s">
        <v>34</v>
      </c>
      <c r="B8" s="44">
        <v>3</v>
      </c>
      <c r="C8" s="44">
        <f>17033.79-8966</f>
        <v>8067.7900000000009</v>
      </c>
      <c r="D8" s="46">
        <v>-9830</v>
      </c>
      <c r="E8" s="46">
        <v>-4950</v>
      </c>
      <c r="F8" s="46">
        <f t="shared" si="0"/>
        <v>-550</v>
      </c>
      <c r="G8" s="46"/>
      <c r="H8" s="57">
        <f>D8*$M$9</f>
        <v>-294.89999999999998</v>
      </c>
      <c r="I8" s="135">
        <v>-10580</v>
      </c>
      <c r="J8" s="58">
        <f t="shared" si="2"/>
        <v>-881.66666666666663</v>
      </c>
      <c r="K8" s="101" t="s">
        <v>568</v>
      </c>
      <c r="L8" s="104">
        <f>I5*2%</f>
        <v>10578</v>
      </c>
      <c r="M8" s="109" t="s">
        <v>392</v>
      </c>
      <c r="N8" s="104"/>
      <c r="O8" s="104"/>
      <c r="P8" s="104"/>
      <c r="Q8" s="104"/>
    </row>
    <row r="9" spans="1:17" x14ac:dyDescent="0.25">
      <c r="A9" s="44" t="s">
        <v>227</v>
      </c>
      <c r="B9" s="44">
        <v>3</v>
      </c>
      <c r="C9" s="44">
        <v>0</v>
      </c>
      <c r="D9" s="46">
        <v>0</v>
      </c>
      <c r="E9" s="46">
        <v>0</v>
      </c>
      <c r="F9" s="46">
        <f t="shared" si="0"/>
        <v>0</v>
      </c>
      <c r="G9" s="46"/>
      <c r="H9" s="57">
        <v>0</v>
      </c>
      <c r="I9" s="135">
        <v>0</v>
      </c>
      <c r="J9" s="58">
        <f t="shared" si="2"/>
        <v>0</v>
      </c>
      <c r="K9" s="101"/>
      <c r="L9" s="104"/>
      <c r="M9" s="152">
        <v>0.03</v>
      </c>
      <c r="N9" s="104"/>
      <c r="O9" s="104"/>
      <c r="P9" s="104"/>
      <c r="Q9" s="104"/>
    </row>
    <row r="10" spans="1:17" x14ac:dyDescent="0.25">
      <c r="A10" s="44" t="s">
        <v>35</v>
      </c>
      <c r="B10" s="44">
        <v>3</v>
      </c>
      <c r="C10" s="44">
        <v>-175</v>
      </c>
      <c r="D10" s="46">
        <v>60</v>
      </c>
      <c r="E10" s="46">
        <v>29</v>
      </c>
      <c r="F10" s="46">
        <f t="shared" si="0"/>
        <v>3.2222222222222223</v>
      </c>
      <c r="G10" s="46"/>
      <c r="H10" s="57">
        <f>D10*$M$9</f>
        <v>1.7999999999999998</v>
      </c>
      <c r="I10" s="135">
        <v>40</v>
      </c>
      <c r="J10" s="58">
        <f t="shared" si="2"/>
        <v>3.3333333333333335</v>
      </c>
      <c r="K10" s="101"/>
      <c r="L10" s="104">
        <f t="shared" si="1"/>
        <v>38.956666666666671</v>
      </c>
      <c r="M10" s="104"/>
      <c r="N10" s="104"/>
      <c r="O10" s="104"/>
      <c r="P10" s="104"/>
      <c r="Q10" s="104"/>
    </row>
    <row r="11" spans="1:17" x14ac:dyDescent="0.25">
      <c r="A11" s="44" t="s">
        <v>36</v>
      </c>
      <c r="B11" s="44">
        <v>3</v>
      </c>
      <c r="C11" s="44">
        <f>-5305.23-345</f>
        <v>-5650.23</v>
      </c>
      <c r="D11" s="46">
        <v>3710</v>
      </c>
      <c r="E11" s="46">
        <v>3656</v>
      </c>
      <c r="F11" s="46">
        <f t="shared" si="0"/>
        <v>406.22222222222223</v>
      </c>
      <c r="G11" s="46"/>
      <c r="H11" s="57">
        <f>D11*$M$9</f>
        <v>111.3</v>
      </c>
      <c r="I11" s="135">
        <v>4910</v>
      </c>
      <c r="J11" s="58">
        <f t="shared" si="2"/>
        <v>409.16666666666669</v>
      </c>
      <c r="K11" s="101"/>
      <c r="L11" s="104">
        <f t="shared" si="1"/>
        <v>4911.2266666666665</v>
      </c>
      <c r="M11" s="104"/>
      <c r="N11" s="104"/>
      <c r="O11" s="104"/>
      <c r="P11" s="104"/>
      <c r="Q11" s="104"/>
    </row>
    <row r="12" spans="1:17" x14ac:dyDescent="0.25">
      <c r="A12" s="44" t="s">
        <v>37</v>
      </c>
      <c r="B12" s="44">
        <v>3</v>
      </c>
      <c r="C12" s="44">
        <f>-4839.93-869</f>
        <v>-5708.93</v>
      </c>
      <c r="D12" s="46">
        <v>720</v>
      </c>
      <c r="E12" s="46">
        <v>548</v>
      </c>
      <c r="F12" s="46">
        <f>E12/9</f>
        <v>60.888888888888886</v>
      </c>
      <c r="G12" s="46"/>
      <c r="H12" s="57">
        <f>D12*$M$9</f>
        <v>21.599999999999998</v>
      </c>
      <c r="I12" s="135">
        <v>740</v>
      </c>
      <c r="J12" s="58">
        <f t="shared" si="2"/>
        <v>61.666666666666664</v>
      </c>
      <c r="K12" s="101"/>
      <c r="L12" s="104">
        <f t="shared" si="1"/>
        <v>736.14666666666665</v>
      </c>
      <c r="M12" s="104"/>
      <c r="N12" s="104"/>
      <c r="O12" s="104"/>
      <c r="P12" s="104"/>
      <c r="Q12" s="104"/>
    </row>
    <row r="13" spans="1:17" x14ac:dyDescent="0.25">
      <c r="A13" s="44" t="s">
        <v>295</v>
      </c>
      <c r="B13" s="44">
        <v>3</v>
      </c>
      <c r="C13" s="44">
        <v>-1339</v>
      </c>
      <c r="D13" s="46">
        <v>700</v>
      </c>
      <c r="E13" s="46">
        <v>510</v>
      </c>
      <c r="F13" s="46">
        <f>E13/9</f>
        <v>56.666666666666664</v>
      </c>
      <c r="G13" s="46"/>
      <c r="H13" s="57">
        <f>D13*$M$9</f>
        <v>21</v>
      </c>
      <c r="I13" s="135">
        <v>690</v>
      </c>
      <c r="J13" s="58">
        <f t="shared" si="2"/>
        <v>57.5</v>
      </c>
      <c r="K13" s="101"/>
      <c r="L13" s="104">
        <f t="shared" si="1"/>
        <v>685.1</v>
      </c>
      <c r="M13" s="104"/>
      <c r="N13" s="104"/>
      <c r="O13" s="104"/>
      <c r="P13" s="104"/>
      <c r="Q13" s="104"/>
    </row>
    <row r="14" spans="1:17" x14ac:dyDescent="0.25">
      <c r="A14" s="44" t="s">
        <v>212</v>
      </c>
      <c r="B14" s="44">
        <v>3</v>
      </c>
      <c r="C14" s="63">
        <f>-6480.37-12335</f>
        <v>-18815.37</v>
      </c>
      <c r="D14" s="53">
        <v>800</v>
      </c>
      <c r="E14" s="53">
        <v>4248</v>
      </c>
      <c r="F14" s="53">
        <f>E14/9</f>
        <v>472</v>
      </c>
      <c r="G14" s="53"/>
      <c r="H14" s="137">
        <f>D14*$M$9</f>
        <v>24</v>
      </c>
      <c r="I14" s="138">
        <v>5710</v>
      </c>
      <c r="J14" s="139">
        <f t="shared" si="2"/>
        <v>475.83333333333331</v>
      </c>
      <c r="K14" s="101"/>
      <c r="L14" s="104">
        <f t="shared" si="1"/>
        <v>5706.48</v>
      </c>
      <c r="M14" s="104"/>
      <c r="N14" s="104"/>
      <c r="O14" s="104"/>
      <c r="P14" s="104"/>
      <c r="Q14" s="104"/>
    </row>
    <row r="15" spans="1:17" x14ac:dyDescent="0.25">
      <c r="A15" s="75" t="s">
        <v>75</v>
      </c>
      <c r="B15" s="44"/>
      <c r="C15" s="45">
        <f t="shared" ref="C15:J15" si="3">SUM(C5:C14)</f>
        <v>-1020065.4966666667</v>
      </c>
      <c r="D15" s="46">
        <f t="shared" si="3"/>
        <v>503420</v>
      </c>
      <c r="E15" s="46">
        <f t="shared" si="3"/>
        <v>409699</v>
      </c>
      <c r="F15" s="46">
        <f>SUM(F5:F14)</f>
        <v>45522.111111111102</v>
      </c>
      <c r="G15" s="46"/>
      <c r="H15" s="57">
        <f t="shared" si="3"/>
        <v>353.40000000000009</v>
      </c>
      <c r="I15" s="57">
        <f t="shared" si="3"/>
        <v>546450</v>
      </c>
      <c r="J15" s="58">
        <f t="shared" si="3"/>
        <v>45537.5</v>
      </c>
      <c r="K15" s="101"/>
      <c r="L15" s="104"/>
      <c r="M15" s="104"/>
      <c r="N15" s="104"/>
      <c r="O15" s="104"/>
      <c r="P15" s="104"/>
      <c r="Q15" s="104"/>
    </row>
    <row r="16" spans="1:17" x14ac:dyDescent="0.25">
      <c r="A16" s="44"/>
      <c r="B16" s="44"/>
      <c r="C16" s="45"/>
      <c r="D16" s="46"/>
      <c r="E16" s="46"/>
      <c r="F16" s="46"/>
      <c r="G16" s="46"/>
      <c r="H16" s="57"/>
      <c r="I16" s="57"/>
      <c r="J16" s="58"/>
      <c r="K16" s="101"/>
      <c r="L16" s="104"/>
      <c r="M16" s="104"/>
      <c r="N16" s="104"/>
      <c r="O16" s="104"/>
      <c r="P16" s="104"/>
      <c r="Q16" s="104"/>
    </row>
    <row r="17" spans="1:17" x14ac:dyDescent="0.25">
      <c r="A17" s="44" t="s">
        <v>76</v>
      </c>
      <c r="B17" s="44"/>
      <c r="C17" s="45">
        <f>C42</f>
        <v>255155.13666666669</v>
      </c>
      <c r="D17" s="46">
        <f>-D42</f>
        <v>-54200</v>
      </c>
      <c r="E17" s="46">
        <f>-E42</f>
        <v>-30684</v>
      </c>
      <c r="F17" s="46">
        <f>E17/9</f>
        <v>-3409.3333333333335</v>
      </c>
      <c r="G17" s="46"/>
      <c r="H17" s="57">
        <f>H42</f>
        <v>1655.6999999999998</v>
      </c>
      <c r="I17" s="57">
        <f>-I42</f>
        <v>-53670</v>
      </c>
      <c r="J17" s="58">
        <f>-J42</f>
        <v>-4472.5</v>
      </c>
      <c r="K17" s="101"/>
      <c r="L17" s="104"/>
      <c r="M17" s="104"/>
      <c r="N17" s="104"/>
      <c r="O17" s="104"/>
      <c r="P17" s="104"/>
      <c r="Q17" s="104"/>
    </row>
    <row r="18" spans="1:17" x14ac:dyDescent="0.25">
      <c r="A18" s="44" t="s">
        <v>83</v>
      </c>
      <c r="B18" s="44"/>
      <c r="C18" s="45">
        <f>C49</f>
        <v>138900.9433333333</v>
      </c>
      <c r="D18" s="46">
        <f>-D49</f>
        <v>-36420</v>
      </c>
      <c r="E18" s="46">
        <f>-E49</f>
        <v>-23442</v>
      </c>
      <c r="F18" s="46">
        <f t="shared" ref="F18:F22" si="4">E18/9</f>
        <v>-2604.6666666666665</v>
      </c>
      <c r="G18" s="46"/>
      <c r="H18" s="57">
        <f>H49</f>
        <v>0</v>
      </c>
      <c r="I18" s="57">
        <f>-I49</f>
        <v>-31640</v>
      </c>
      <c r="J18" s="58">
        <f>-J49</f>
        <v>-2636.6666666666665</v>
      </c>
      <c r="K18" s="101"/>
      <c r="L18" s="104"/>
      <c r="M18" s="104"/>
      <c r="N18" s="104"/>
      <c r="O18" s="104"/>
      <c r="P18" s="104"/>
      <c r="Q18" s="104"/>
    </row>
    <row r="19" spans="1:17" x14ac:dyDescent="0.25">
      <c r="A19" s="44" t="s">
        <v>88</v>
      </c>
      <c r="B19" s="44"/>
      <c r="C19" s="45">
        <f>C66</f>
        <v>253192.74000000002</v>
      </c>
      <c r="D19" s="46">
        <f>-D66</f>
        <v>-102270</v>
      </c>
      <c r="E19" s="46">
        <f>-E66</f>
        <v>-81307</v>
      </c>
      <c r="F19" s="46">
        <f t="shared" si="4"/>
        <v>-9034.1111111111113</v>
      </c>
      <c r="G19" s="46"/>
      <c r="H19" s="57">
        <f>H66</f>
        <v>2654.0999999999995</v>
      </c>
      <c r="I19" s="57">
        <f>-I66</f>
        <v>-113460</v>
      </c>
      <c r="J19" s="58">
        <f>-J66</f>
        <v>-9455</v>
      </c>
      <c r="K19" s="101"/>
      <c r="L19" s="104"/>
      <c r="M19" s="104"/>
      <c r="N19" s="104"/>
      <c r="O19" s="104"/>
      <c r="P19" s="104"/>
      <c r="Q19" s="104"/>
    </row>
    <row r="20" spans="1:17" x14ac:dyDescent="0.25">
      <c r="A20" s="44" t="s">
        <v>77</v>
      </c>
      <c r="B20" s="44"/>
      <c r="C20" s="45">
        <f>C79</f>
        <v>264872.60666666669</v>
      </c>
      <c r="D20" s="46">
        <f>-D79</f>
        <v>-128890</v>
      </c>
      <c r="E20" s="46">
        <f>-E79</f>
        <v>-93205</v>
      </c>
      <c r="F20" s="46">
        <f t="shared" si="4"/>
        <v>-10356.111111111111</v>
      </c>
      <c r="G20" s="46"/>
      <c r="H20" s="57">
        <f>H79</f>
        <v>6008.7650000000003</v>
      </c>
      <c r="I20" s="57">
        <f>-I79</f>
        <v>-128560</v>
      </c>
      <c r="J20" s="58">
        <f>-J79</f>
        <v>-10713.333333333334</v>
      </c>
      <c r="K20" s="101"/>
      <c r="L20" s="104"/>
      <c r="M20" s="104"/>
      <c r="N20" s="104"/>
      <c r="O20" s="104"/>
      <c r="P20" s="104"/>
      <c r="Q20" s="104"/>
    </row>
    <row r="21" spans="1:17" x14ac:dyDescent="0.25">
      <c r="A21" s="44" t="s">
        <v>296</v>
      </c>
      <c r="B21" s="44"/>
      <c r="C21" s="45">
        <f>C83</f>
        <v>429888.40333333332</v>
      </c>
      <c r="D21" s="46">
        <f>-D83</f>
        <v>-102190</v>
      </c>
      <c r="E21" s="46">
        <f>-E83</f>
        <v>-76650</v>
      </c>
      <c r="F21" s="46">
        <f t="shared" si="4"/>
        <v>-8516.6666666666661</v>
      </c>
      <c r="G21" s="46"/>
      <c r="H21" s="57">
        <f>H83</f>
        <v>0</v>
      </c>
      <c r="I21" s="57">
        <f>-I83</f>
        <v>-102190</v>
      </c>
      <c r="J21" s="58">
        <f>-J83</f>
        <v>-8515.8333333333339</v>
      </c>
      <c r="K21" s="101"/>
      <c r="L21" s="104"/>
      <c r="M21" s="104"/>
      <c r="N21" s="104"/>
      <c r="O21" s="104"/>
      <c r="P21" s="104"/>
      <c r="Q21" s="104"/>
    </row>
    <row r="22" spans="1:17" x14ac:dyDescent="0.25">
      <c r="A22" s="44" t="s">
        <v>78</v>
      </c>
      <c r="B22" s="44"/>
      <c r="C22" s="45">
        <f>C88</f>
        <v>38404</v>
      </c>
      <c r="D22" s="46">
        <f>-D88</f>
        <v>-58500</v>
      </c>
      <c r="E22" s="46">
        <f>-E88</f>
        <v>-12375</v>
      </c>
      <c r="F22" s="46">
        <f t="shared" si="4"/>
        <v>-1375</v>
      </c>
      <c r="G22" s="46"/>
      <c r="H22" s="57">
        <f>H88</f>
        <v>0</v>
      </c>
      <c r="I22" s="57">
        <f>-I88</f>
        <v>-58500</v>
      </c>
      <c r="J22" s="58">
        <f>-J88</f>
        <v>-4875</v>
      </c>
      <c r="K22" s="101"/>
      <c r="L22" s="162"/>
      <c r="M22" s="104"/>
      <c r="N22" s="104"/>
      <c r="O22" s="104"/>
      <c r="P22" s="104"/>
      <c r="Q22" s="104"/>
    </row>
    <row r="23" spans="1:17" x14ac:dyDescent="0.25">
      <c r="A23" s="44" t="s">
        <v>79</v>
      </c>
      <c r="B23" s="44"/>
      <c r="C23" s="52">
        <f>C97</f>
        <v>130726.09666666666</v>
      </c>
      <c r="D23" s="53">
        <f>-D97</f>
        <v>0</v>
      </c>
      <c r="E23" s="53">
        <f>-E97</f>
        <v>0</v>
      </c>
      <c r="F23" s="53">
        <f>E23/9</f>
        <v>0</v>
      </c>
      <c r="G23" s="53"/>
      <c r="H23" s="137">
        <f>H97</f>
        <v>0</v>
      </c>
      <c r="I23" s="137">
        <f>-I97</f>
        <v>0</v>
      </c>
      <c r="J23" s="139">
        <f>-J97</f>
        <v>0</v>
      </c>
      <c r="K23" s="101"/>
      <c r="L23" s="104"/>
      <c r="M23" s="104"/>
      <c r="N23" s="104"/>
      <c r="O23" s="104"/>
      <c r="P23" s="104"/>
      <c r="Q23" s="104"/>
    </row>
    <row r="24" spans="1:17" x14ac:dyDescent="0.25">
      <c r="A24" s="44" t="s">
        <v>80</v>
      </c>
      <c r="B24" s="44"/>
      <c r="C24" s="140">
        <f>SUM(C17:C23)</f>
        <v>1511139.9266666668</v>
      </c>
      <c r="D24" s="141">
        <f t="shared" ref="D24:F24" si="5">SUM(D17:D23)</f>
        <v>-482470</v>
      </c>
      <c r="E24" s="141">
        <f t="shared" si="5"/>
        <v>-317663</v>
      </c>
      <c r="F24" s="141">
        <f t="shared" si="5"/>
        <v>-35295.888888888891</v>
      </c>
      <c r="G24" s="53"/>
      <c r="H24" s="137">
        <f>SUM(H17:H23)</f>
        <v>10318.564999999999</v>
      </c>
      <c r="I24" s="163">
        <f t="shared" ref="I24:J24" si="6">SUM(I17:I23)</f>
        <v>-488020</v>
      </c>
      <c r="J24" s="164">
        <f t="shared" si="6"/>
        <v>-40668.333333333336</v>
      </c>
      <c r="K24" s="101"/>
      <c r="L24" s="104"/>
      <c r="M24" s="104"/>
      <c r="N24" s="104"/>
      <c r="O24" s="104"/>
      <c r="P24" s="104"/>
      <c r="Q24" s="104"/>
    </row>
    <row r="25" spans="1:17" x14ac:dyDescent="0.25">
      <c r="A25" s="44"/>
      <c r="B25" s="44"/>
      <c r="C25" s="45"/>
      <c r="D25" s="46"/>
      <c r="E25" s="46"/>
      <c r="F25" s="46"/>
      <c r="G25" s="46"/>
      <c r="H25" s="57"/>
      <c r="I25" s="57"/>
      <c r="J25" s="58"/>
      <c r="K25" s="101"/>
      <c r="L25" s="104"/>
      <c r="M25" s="104"/>
      <c r="N25" s="104"/>
      <c r="O25" s="104"/>
      <c r="P25" s="104"/>
      <c r="Q25" s="104"/>
    </row>
    <row r="26" spans="1:17" ht="15.75" thickBot="1" x14ac:dyDescent="0.3">
      <c r="A26" s="121" t="s">
        <v>550</v>
      </c>
      <c r="B26" s="122"/>
      <c r="C26" s="123">
        <f>SUM(-C15-C24)</f>
        <v>-491074.43000000005</v>
      </c>
      <c r="D26" s="72">
        <f>SUM(D15+D24)+D78</f>
        <v>109640</v>
      </c>
      <c r="E26" s="72">
        <f>SUM(E15+E24)+E78</f>
        <v>158621</v>
      </c>
      <c r="F26" s="72">
        <f t="shared" ref="F26" si="7">SUM(F15+F24)+F78</f>
        <v>17624.555555555544</v>
      </c>
      <c r="H26" s="73">
        <f>SUM(-H15-H24)</f>
        <v>-10671.964999999998</v>
      </c>
      <c r="I26" s="73">
        <f>SUM(I15+I24)+I78</f>
        <v>147210</v>
      </c>
      <c r="J26" s="74">
        <f>SUM(J15+J24)+J78</f>
        <v>12267.499999999996</v>
      </c>
      <c r="K26" s="101"/>
      <c r="L26" s="104"/>
      <c r="M26" s="104"/>
      <c r="N26" s="104"/>
      <c r="O26" s="104"/>
      <c r="P26" s="104"/>
      <c r="Q26" s="104"/>
    </row>
    <row r="27" spans="1:17" x14ac:dyDescent="0.25">
      <c r="A27" s="75" t="s">
        <v>449</v>
      </c>
      <c r="B27" s="44"/>
      <c r="C27" s="45"/>
      <c r="D27" s="45"/>
      <c r="E27" s="45"/>
      <c r="F27" s="45"/>
      <c r="G27" s="45"/>
      <c r="H27" s="115"/>
      <c r="I27" s="115"/>
      <c r="J27" s="116"/>
      <c r="K27" s="101"/>
      <c r="L27" s="104"/>
      <c r="M27" s="104"/>
      <c r="N27" s="104"/>
      <c r="O27" s="104"/>
      <c r="P27" s="104"/>
      <c r="Q27" s="104"/>
    </row>
    <row r="28" spans="1:17" x14ac:dyDescent="0.25">
      <c r="A28" s="44" t="s">
        <v>39</v>
      </c>
      <c r="B28" s="44">
        <v>3</v>
      </c>
      <c r="C28" s="45">
        <v>18000</v>
      </c>
      <c r="D28" s="45">
        <v>6500</v>
      </c>
      <c r="E28" s="45">
        <v>4735</v>
      </c>
      <c r="F28" s="45">
        <f>E28/9</f>
        <v>526.11111111111109</v>
      </c>
      <c r="G28" s="45"/>
      <c r="H28" s="115">
        <f>D28*$M$9</f>
        <v>195</v>
      </c>
      <c r="I28" s="115">
        <v>6360</v>
      </c>
      <c r="J28" s="116">
        <f t="shared" ref="J28:J41" si="8">I28/12</f>
        <v>530</v>
      </c>
      <c r="K28" s="101"/>
      <c r="L28" s="104">
        <f t="shared" ref="L28:L41" si="9">SUM(E28)+(F28*3)*1.03</f>
        <v>6360.6833333333334</v>
      </c>
      <c r="M28" s="104"/>
      <c r="N28" s="104"/>
      <c r="O28" s="104"/>
      <c r="P28" s="104"/>
      <c r="Q28" s="104"/>
    </row>
    <row r="29" spans="1:17" x14ac:dyDescent="0.25">
      <c r="A29" s="44" t="s">
        <v>40</v>
      </c>
      <c r="B29" s="44">
        <v>3</v>
      </c>
      <c r="C29" s="118">
        <f>10588.22-103</f>
        <v>10485.219999999999</v>
      </c>
      <c r="D29" s="46">
        <v>0</v>
      </c>
      <c r="E29" s="45">
        <v>85</v>
      </c>
      <c r="F29" s="45">
        <f t="shared" ref="F29:F40" si="10">E29/9</f>
        <v>9.4444444444444446</v>
      </c>
      <c r="G29" s="45"/>
      <c r="H29" s="115">
        <f>D29*$N$8</f>
        <v>0</v>
      </c>
      <c r="I29" s="115">
        <v>110</v>
      </c>
      <c r="J29" s="116">
        <f t="shared" si="8"/>
        <v>9.1666666666666661</v>
      </c>
      <c r="K29" s="101"/>
      <c r="L29" s="104">
        <f t="shared" si="9"/>
        <v>114.18333333333334</v>
      </c>
      <c r="M29" s="104"/>
      <c r="N29" s="104"/>
      <c r="O29" s="104"/>
      <c r="P29" s="104"/>
      <c r="Q29" s="104"/>
    </row>
    <row r="30" spans="1:17" x14ac:dyDescent="0.25">
      <c r="A30" s="44" t="s">
        <v>41</v>
      </c>
      <c r="B30" s="44">
        <v>3</v>
      </c>
      <c r="C30" s="45">
        <f>280+187</f>
        <v>467</v>
      </c>
      <c r="D30" s="45">
        <v>150</v>
      </c>
      <c r="E30" s="45">
        <v>90</v>
      </c>
      <c r="F30" s="45">
        <f t="shared" si="10"/>
        <v>10</v>
      </c>
      <c r="G30" s="45"/>
      <c r="H30" s="115">
        <f>D30*$M$9</f>
        <v>4.5</v>
      </c>
      <c r="I30" s="115">
        <v>120</v>
      </c>
      <c r="J30" s="116">
        <f t="shared" si="8"/>
        <v>10</v>
      </c>
      <c r="K30" s="101"/>
      <c r="L30" s="104">
        <f t="shared" si="9"/>
        <v>120.9</v>
      </c>
      <c r="M30" s="104"/>
      <c r="N30" s="104"/>
      <c r="O30" s="104"/>
      <c r="P30" s="104"/>
      <c r="Q30" s="104"/>
    </row>
    <row r="31" spans="1:17" x14ac:dyDescent="0.25">
      <c r="A31" s="44" t="s">
        <v>429</v>
      </c>
      <c r="B31" s="44">
        <v>3</v>
      </c>
      <c r="C31" s="45">
        <f>307+3333</f>
        <v>3640</v>
      </c>
      <c r="D31" s="45">
        <v>1270</v>
      </c>
      <c r="E31" s="45">
        <v>458</v>
      </c>
      <c r="F31" s="45">
        <f t="shared" si="10"/>
        <v>50.888888888888886</v>
      </c>
      <c r="G31" s="45"/>
      <c r="H31" s="115">
        <f>D31*$M$9</f>
        <v>38.1</v>
      </c>
      <c r="I31" s="115">
        <v>620</v>
      </c>
      <c r="J31" s="116">
        <f t="shared" si="8"/>
        <v>51.666666666666664</v>
      </c>
      <c r="K31" s="101"/>
      <c r="L31" s="104">
        <f t="shared" si="9"/>
        <v>615.24666666666667</v>
      </c>
      <c r="M31" s="104"/>
      <c r="N31" s="104"/>
      <c r="O31" s="104"/>
      <c r="P31" s="104"/>
      <c r="Q31" s="104"/>
    </row>
    <row r="32" spans="1:17" x14ac:dyDescent="0.25">
      <c r="A32" s="44" t="s">
        <v>269</v>
      </c>
      <c r="B32" s="44">
        <v>3</v>
      </c>
      <c r="C32" s="45">
        <f>47735.26+14837</f>
        <v>62572.26</v>
      </c>
      <c r="D32" s="45">
        <v>25170</v>
      </c>
      <c r="E32" s="45">
        <v>20485</v>
      </c>
      <c r="F32" s="45">
        <f t="shared" si="10"/>
        <v>2276.1111111111113</v>
      </c>
      <c r="G32" s="45"/>
      <c r="H32" s="115">
        <f>D32*$M$7</f>
        <v>1258.5</v>
      </c>
      <c r="I32" s="115">
        <v>27320</v>
      </c>
      <c r="J32" s="116">
        <f t="shared" si="8"/>
        <v>2276.6666666666665</v>
      </c>
      <c r="K32" s="101" t="s">
        <v>566</v>
      </c>
      <c r="L32" s="104">
        <f>I15*5%</f>
        <v>27322.5</v>
      </c>
      <c r="M32" s="104"/>
      <c r="N32" s="104"/>
      <c r="O32" s="104"/>
      <c r="P32" s="104"/>
      <c r="Q32" s="104"/>
    </row>
    <row r="33" spans="1:17" x14ac:dyDescent="0.25">
      <c r="A33" s="44" t="s">
        <v>299</v>
      </c>
      <c r="B33" s="44">
        <v>3</v>
      </c>
      <c r="C33" s="118">
        <f>86765.11+45177</f>
        <v>131942.10999999999</v>
      </c>
      <c r="D33" s="46">
        <v>14550</v>
      </c>
      <c r="E33" s="45">
        <v>0</v>
      </c>
      <c r="F33" s="45">
        <f t="shared" si="10"/>
        <v>0</v>
      </c>
      <c r="G33" s="45"/>
      <c r="H33" s="115">
        <f t="shared" ref="H33" si="11">D33*$N$8</f>
        <v>0</v>
      </c>
      <c r="I33" s="115">
        <v>12650</v>
      </c>
      <c r="J33" s="116">
        <f t="shared" si="8"/>
        <v>1054.1666666666667</v>
      </c>
      <c r="K33" s="101" t="s">
        <v>634</v>
      </c>
      <c r="L33" s="104">
        <f t="shared" si="9"/>
        <v>0</v>
      </c>
      <c r="M33" s="104"/>
      <c r="N33" s="104"/>
      <c r="O33" s="104"/>
      <c r="P33" s="104"/>
      <c r="Q33" s="104"/>
    </row>
    <row r="34" spans="1:17" x14ac:dyDescent="0.25">
      <c r="A34" s="44" t="s">
        <v>270</v>
      </c>
      <c r="B34" s="44">
        <v>3</v>
      </c>
      <c r="C34" s="45">
        <v>145</v>
      </c>
      <c r="D34" s="45">
        <v>500</v>
      </c>
      <c r="E34" s="45">
        <v>397</v>
      </c>
      <c r="F34" s="45">
        <f t="shared" si="10"/>
        <v>44.111111111111114</v>
      </c>
      <c r="G34" s="45"/>
      <c r="H34" s="115">
        <f>D34*$M$9</f>
        <v>15</v>
      </c>
      <c r="I34" s="115">
        <v>530</v>
      </c>
      <c r="J34" s="116">
        <f t="shared" si="8"/>
        <v>44.166666666666664</v>
      </c>
      <c r="K34" s="104"/>
      <c r="L34" s="104">
        <f t="shared" si="9"/>
        <v>533.30333333333328</v>
      </c>
      <c r="M34" s="104"/>
      <c r="N34" s="104"/>
      <c r="O34" s="104"/>
      <c r="P34" s="104"/>
      <c r="Q34" s="104"/>
    </row>
    <row r="35" spans="1:17" x14ac:dyDescent="0.25">
      <c r="A35" s="44" t="s">
        <v>43</v>
      </c>
      <c r="B35" s="44">
        <v>3</v>
      </c>
      <c r="C35" s="45">
        <f>964+3113</f>
        <v>4077</v>
      </c>
      <c r="D35" s="45">
        <v>1300</v>
      </c>
      <c r="E35" s="45">
        <v>1883</v>
      </c>
      <c r="F35" s="45">
        <f t="shared" si="10"/>
        <v>209.22222222222223</v>
      </c>
      <c r="G35" s="45"/>
      <c r="H35" s="115">
        <f>D35*$M$9</f>
        <v>39</v>
      </c>
      <c r="I35" s="115">
        <v>2530</v>
      </c>
      <c r="J35" s="116">
        <f t="shared" si="8"/>
        <v>210.83333333333334</v>
      </c>
      <c r="K35" s="104"/>
      <c r="L35" s="104">
        <f t="shared" si="9"/>
        <v>2529.4966666666669</v>
      </c>
      <c r="M35" s="104"/>
      <c r="N35" s="104"/>
      <c r="O35" s="104"/>
      <c r="P35" s="104"/>
      <c r="Q35" s="104"/>
    </row>
    <row r="36" spans="1:17" hidden="1" x14ac:dyDescent="0.25">
      <c r="A36" s="44" t="s">
        <v>332</v>
      </c>
      <c r="B36" s="44">
        <v>3</v>
      </c>
      <c r="C36" s="118">
        <f>755.65+3</f>
        <v>758.65</v>
      </c>
      <c r="D36" s="46">
        <v>0</v>
      </c>
      <c r="E36" s="45">
        <v>0</v>
      </c>
      <c r="F36" s="45">
        <f t="shared" si="10"/>
        <v>0</v>
      </c>
      <c r="G36" s="45"/>
      <c r="H36" s="115">
        <f t="shared" ref="H36:H37" si="12">D36*$N$8</f>
        <v>0</v>
      </c>
      <c r="I36" s="115">
        <v>0</v>
      </c>
      <c r="J36" s="116">
        <f t="shared" si="8"/>
        <v>0</v>
      </c>
      <c r="K36" s="104"/>
      <c r="L36" s="104">
        <f t="shared" si="9"/>
        <v>0</v>
      </c>
      <c r="M36" s="104"/>
      <c r="N36" s="104"/>
      <c r="O36" s="104"/>
      <c r="P36" s="104"/>
      <c r="Q36" s="104"/>
    </row>
    <row r="37" spans="1:17" hidden="1" x14ac:dyDescent="0.25">
      <c r="A37" s="44" t="s">
        <v>271</v>
      </c>
      <c r="B37" s="44">
        <v>3</v>
      </c>
      <c r="C37" s="118">
        <f>6528.88+227</f>
        <v>6755.88</v>
      </c>
      <c r="D37" s="46">
        <v>0</v>
      </c>
      <c r="E37" s="45">
        <v>0</v>
      </c>
      <c r="F37" s="45">
        <f t="shared" si="10"/>
        <v>0</v>
      </c>
      <c r="G37" s="45"/>
      <c r="H37" s="115">
        <f t="shared" si="12"/>
        <v>0</v>
      </c>
      <c r="I37" s="115">
        <v>0</v>
      </c>
      <c r="J37" s="116">
        <f t="shared" si="8"/>
        <v>0</v>
      </c>
      <c r="K37" s="104"/>
      <c r="L37" s="104">
        <f t="shared" si="9"/>
        <v>0</v>
      </c>
      <c r="M37" s="104"/>
      <c r="N37" s="104"/>
      <c r="O37" s="104"/>
      <c r="P37" s="104"/>
      <c r="Q37" s="104"/>
    </row>
    <row r="38" spans="1:17" x14ac:dyDescent="0.25">
      <c r="A38" s="44" t="s">
        <v>44</v>
      </c>
      <c r="B38" s="44">
        <v>3</v>
      </c>
      <c r="C38" s="45">
        <f>3964.83666666667-3</f>
        <v>3961.8366666666702</v>
      </c>
      <c r="D38" s="45">
        <v>1820</v>
      </c>
      <c r="E38" s="45">
        <v>1346</v>
      </c>
      <c r="F38" s="45">
        <f t="shared" si="10"/>
        <v>149.55555555555554</v>
      </c>
      <c r="G38" s="45"/>
      <c r="H38" s="115">
        <f>D38*$M$9</f>
        <v>54.6</v>
      </c>
      <c r="I38" s="115">
        <v>1810</v>
      </c>
      <c r="J38" s="116">
        <f t="shared" si="8"/>
        <v>150.83333333333334</v>
      </c>
      <c r="K38" s="104"/>
      <c r="L38" s="104">
        <f t="shared" si="9"/>
        <v>1808.1266666666666</v>
      </c>
      <c r="M38" s="104"/>
      <c r="N38" s="104"/>
      <c r="O38" s="104"/>
      <c r="P38" s="104"/>
      <c r="Q38" s="104"/>
    </row>
    <row r="39" spans="1:17" x14ac:dyDescent="0.25">
      <c r="A39" s="44" t="s">
        <v>271</v>
      </c>
      <c r="B39" s="44">
        <v>3</v>
      </c>
      <c r="C39" s="45">
        <f>SUM('[2]2014'!C22:E22)-4</f>
        <v>7369.89</v>
      </c>
      <c r="D39" s="45">
        <v>1240</v>
      </c>
      <c r="E39" s="45">
        <v>381</v>
      </c>
      <c r="F39" s="45">
        <f t="shared" si="10"/>
        <v>42.333333333333336</v>
      </c>
      <c r="G39" s="45"/>
      <c r="H39" s="115">
        <f t="shared" ref="H39" si="13">D39*$N$9</f>
        <v>0</v>
      </c>
      <c r="I39" s="115">
        <v>510</v>
      </c>
      <c r="J39" s="116">
        <f t="shared" si="8"/>
        <v>42.5</v>
      </c>
      <c r="K39" s="104"/>
      <c r="L39" s="104">
        <f t="shared" si="9"/>
        <v>511.81</v>
      </c>
    </row>
    <row r="40" spans="1:17" x14ac:dyDescent="0.25">
      <c r="A40" s="44" t="s">
        <v>245</v>
      </c>
      <c r="B40" s="44">
        <v>3</v>
      </c>
      <c r="C40" s="45">
        <f>5937.37-2908</f>
        <v>3029.37</v>
      </c>
      <c r="D40" s="45">
        <v>1060</v>
      </c>
      <c r="E40" s="45">
        <v>383</v>
      </c>
      <c r="F40" s="45">
        <f t="shared" si="10"/>
        <v>42.555555555555557</v>
      </c>
      <c r="G40" s="45"/>
      <c r="H40" s="115">
        <f>D40*$M$9</f>
        <v>31.799999999999997</v>
      </c>
      <c r="I40" s="115">
        <v>510</v>
      </c>
      <c r="J40" s="116">
        <f t="shared" si="8"/>
        <v>42.5</v>
      </c>
      <c r="K40" s="104"/>
      <c r="L40" s="104">
        <f t="shared" si="9"/>
        <v>514.49666666666667</v>
      </c>
      <c r="M40" s="104"/>
      <c r="N40" s="104"/>
      <c r="O40" s="104"/>
      <c r="P40" s="104"/>
      <c r="Q40" s="104"/>
    </row>
    <row r="41" spans="1:17" x14ac:dyDescent="0.25">
      <c r="A41" s="44" t="s">
        <v>46</v>
      </c>
      <c r="B41" s="44">
        <v>3</v>
      </c>
      <c r="C41" s="52">
        <f>1619.92+331</f>
        <v>1950.92</v>
      </c>
      <c r="D41" s="52">
        <v>640</v>
      </c>
      <c r="E41" s="52">
        <v>441</v>
      </c>
      <c r="F41" s="52">
        <f>E41/9</f>
        <v>49</v>
      </c>
      <c r="G41" s="52"/>
      <c r="H41" s="142">
        <f>D41*$M$9</f>
        <v>19.2</v>
      </c>
      <c r="I41" s="142">
        <v>600</v>
      </c>
      <c r="J41" s="120">
        <f t="shared" si="8"/>
        <v>50</v>
      </c>
      <c r="K41" s="104"/>
      <c r="L41" s="104">
        <f t="shared" si="9"/>
        <v>592.41</v>
      </c>
      <c r="M41" s="104"/>
      <c r="N41" s="104"/>
      <c r="O41" s="104"/>
      <c r="P41" s="104"/>
      <c r="Q41" s="104"/>
    </row>
    <row r="42" spans="1:17" x14ac:dyDescent="0.25">
      <c r="A42" s="75" t="s">
        <v>81</v>
      </c>
      <c r="B42" s="44"/>
      <c r="C42" s="45">
        <f t="shared" ref="C42:J42" si="14">SUM(C28:C41)</f>
        <v>255155.13666666669</v>
      </c>
      <c r="D42" s="45">
        <f t="shared" si="14"/>
        <v>54200</v>
      </c>
      <c r="E42" s="45">
        <f t="shared" si="14"/>
        <v>30684</v>
      </c>
      <c r="F42" s="45">
        <f>SUM(F28:F41)</f>
        <v>3409.3333333333339</v>
      </c>
      <c r="G42" s="45"/>
      <c r="H42" s="115">
        <f t="shared" si="14"/>
        <v>1655.6999999999998</v>
      </c>
      <c r="I42" s="115">
        <f t="shared" si="14"/>
        <v>53670</v>
      </c>
      <c r="J42" s="116">
        <f t="shared" si="14"/>
        <v>4472.5</v>
      </c>
      <c r="K42" s="104"/>
      <c r="L42" s="104"/>
      <c r="M42" s="104"/>
      <c r="N42" s="104"/>
      <c r="O42" s="104"/>
      <c r="P42" s="104"/>
      <c r="Q42" s="104"/>
    </row>
    <row r="43" spans="1:17" x14ac:dyDescent="0.25">
      <c r="A43" s="75"/>
      <c r="B43" s="44"/>
      <c r="C43" s="45"/>
      <c r="D43" s="45"/>
      <c r="E43" s="45"/>
      <c r="F43" s="45"/>
      <c r="G43" s="45"/>
      <c r="H43" s="115"/>
      <c r="I43" s="115"/>
      <c r="J43" s="116"/>
      <c r="K43" s="104"/>
      <c r="L43" s="104"/>
      <c r="M43" s="104"/>
      <c r="N43" s="104"/>
      <c r="O43" s="104"/>
      <c r="P43" s="104"/>
      <c r="Q43" s="104"/>
    </row>
    <row r="44" spans="1:17" x14ac:dyDescent="0.25">
      <c r="A44" s="75" t="s">
        <v>450</v>
      </c>
      <c r="B44" s="44"/>
      <c r="C44" s="45"/>
      <c r="D44" s="45"/>
      <c r="E44" s="45"/>
      <c r="F44" s="45"/>
      <c r="G44" s="45"/>
      <c r="H44" s="115"/>
      <c r="I44" s="115"/>
      <c r="J44" s="116"/>
      <c r="K44" s="104"/>
      <c r="L44" s="104"/>
      <c r="M44" s="104"/>
      <c r="N44" s="104"/>
      <c r="O44" s="104"/>
      <c r="P44" s="104"/>
      <c r="Q44" s="104"/>
    </row>
    <row r="45" spans="1:17" x14ac:dyDescent="0.25">
      <c r="A45" s="44" t="s">
        <v>220</v>
      </c>
      <c r="B45" s="44">
        <v>3</v>
      </c>
      <c r="C45" s="45">
        <f>16171.95+9565</f>
        <v>25736.95</v>
      </c>
      <c r="D45" s="45">
        <v>8550</v>
      </c>
      <c r="E45" s="45">
        <v>5520</v>
      </c>
      <c r="F45" s="45">
        <f>E45/9</f>
        <v>613.33333333333337</v>
      </c>
      <c r="G45" s="45"/>
      <c r="H45" s="115">
        <f>D45*$O$45</f>
        <v>0</v>
      </c>
      <c r="I45" s="115">
        <v>7420</v>
      </c>
      <c r="J45" s="116">
        <f t="shared" ref="J45:J49" si="15">I45/12</f>
        <v>618.33333333333337</v>
      </c>
      <c r="K45" s="101" t="s">
        <v>501</v>
      </c>
      <c r="L45" s="104">
        <f t="shared" ref="L45" si="16">SUM(E45)+(F45*3)*1.03</f>
        <v>7415.2</v>
      </c>
      <c r="M45" s="104"/>
      <c r="N45" s="104"/>
      <c r="O45" s="165"/>
      <c r="P45" s="104"/>
      <c r="Q45" s="104"/>
    </row>
    <row r="46" spans="1:17" x14ac:dyDescent="0.25">
      <c r="A46" s="44" t="s">
        <v>47</v>
      </c>
      <c r="B46" s="44">
        <v>3</v>
      </c>
      <c r="C46" s="45">
        <f>15955.54+3103</f>
        <v>19058.54</v>
      </c>
      <c r="D46" s="45">
        <v>6200</v>
      </c>
      <c r="E46" s="45">
        <v>4818</v>
      </c>
      <c r="F46" s="45">
        <f t="shared" ref="F46:F47" si="17">E46/9</f>
        <v>535.33333333333337</v>
      </c>
      <c r="G46" s="45"/>
      <c r="H46" s="115">
        <f>D46*$O$46</f>
        <v>0</v>
      </c>
      <c r="I46" s="115">
        <v>6550</v>
      </c>
      <c r="J46" s="116">
        <f t="shared" si="15"/>
        <v>545.83333333333337</v>
      </c>
      <c r="K46" s="101" t="s">
        <v>610</v>
      </c>
      <c r="L46" s="104">
        <f>SUM(E46)+(F46*3)*1.08</f>
        <v>6552.48</v>
      </c>
      <c r="M46" s="104"/>
      <c r="N46" s="104"/>
      <c r="O46" s="165"/>
      <c r="P46" s="104"/>
      <c r="Q46" s="104"/>
    </row>
    <row r="47" spans="1:17" x14ac:dyDescent="0.25">
      <c r="A47" s="44" t="s">
        <v>48</v>
      </c>
      <c r="B47" s="44">
        <v>3</v>
      </c>
      <c r="C47" s="45">
        <f>47876.08+24545</f>
        <v>72421.08</v>
      </c>
      <c r="D47" s="45">
        <v>13150</v>
      </c>
      <c r="E47" s="45">
        <v>7271</v>
      </c>
      <c r="F47" s="45">
        <f t="shared" si="17"/>
        <v>807.88888888888891</v>
      </c>
      <c r="G47" s="45"/>
      <c r="H47" s="115">
        <f>D47*$O$47</f>
        <v>0</v>
      </c>
      <c r="I47" s="115">
        <v>9790</v>
      </c>
      <c r="J47" s="116">
        <f t="shared" si="15"/>
        <v>815.83333333333337</v>
      </c>
      <c r="K47" s="101" t="s">
        <v>533</v>
      </c>
      <c r="L47" s="104">
        <f t="shared" ref="L47" si="18">SUM(E47)+(F47*3)*1.04</f>
        <v>9791.6133333333346</v>
      </c>
      <c r="M47" s="104"/>
      <c r="N47" s="104"/>
      <c r="O47" s="165"/>
      <c r="P47" s="104"/>
      <c r="Q47" s="104"/>
    </row>
    <row r="48" spans="1:17" x14ac:dyDescent="0.25">
      <c r="A48" s="44" t="s">
        <v>49</v>
      </c>
      <c r="B48" s="44">
        <v>3</v>
      </c>
      <c r="C48" s="52">
        <f>21683.3733333333+1</f>
        <v>21684.3733333333</v>
      </c>
      <c r="D48" s="52">
        <v>8520</v>
      </c>
      <c r="E48" s="52">
        <v>5833</v>
      </c>
      <c r="F48" s="52">
        <f>E48/9</f>
        <v>648.11111111111109</v>
      </c>
      <c r="G48" s="52"/>
      <c r="H48" s="142">
        <f>D48*$O$48</f>
        <v>0</v>
      </c>
      <c r="I48" s="142">
        <v>7880</v>
      </c>
      <c r="J48" s="120">
        <f t="shared" si="15"/>
        <v>656.66666666666663</v>
      </c>
      <c r="K48" s="101" t="s">
        <v>585</v>
      </c>
      <c r="L48" s="104">
        <f>SUM(E48)+(F48*3)*1.05</f>
        <v>7874.55</v>
      </c>
      <c r="M48" s="104"/>
      <c r="N48" s="104"/>
      <c r="O48" s="165"/>
      <c r="P48" s="104"/>
      <c r="Q48" s="104"/>
    </row>
    <row r="49" spans="1:18" x14ac:dyDescent="0.25">
      <c r="A49" s="75" t="s">
        <v>301</v>
      </c>
      <c r="B49" s="44"/>
      <c r="C49" s="45">
        <f>SUM(C45:C48)</f>
        <v>138900.9433333333</v>
      </c>
      <c r="D49" s="45">
        <f>SUM(D45:D48)</f>
        <v>36420</v>
      </c>
      <c r="E49" s="45">
        <f>SUM(E45:E48)</f>
        <v>23442</v>
      </c>
      <c r="F49" s="45">
        <f>SUM(F45:F48)</f>
        <v>2604.666666666667</v>
      </c>
      <c r="G49" s="45"/>
      <c r="H49" s="115">
        <f>SUM(H45:H48)</f>
        <v>0</v>
      </c>
      <c r="I49" s="115">
        <f>SUM(I45:I48)</f>
        <v>31640</v>
      </c>
      <c r="J49" s="116">
        <f t="shared" si="15"/>
        <v>2636.6666666666665</v>
      </c>
      <c r="K49" s="101"/>
      <c r="L49" s="104"/>
      <c r="M49" s="104"/>
      <c r="N49" s="104"/>
      <c r="O49" s="104"/>
      <c r="P49" s="104"/>
      <c r="Q49" s="104"/>
    </row>
    <row r="50" spans="1:18" x14ac:dyDescent="0.25">
      <c r="A50" s="44"/>
      <c r="B50" s="44"/>
      <c r="C50" s="45"/>
      <c r="D50" s="45"/>
      <c r="E50" s="45"/>
      <c r="F50" s="45"/>
      <c r="G50" s="45"/>
      <c r="H50" s="115"/>
      <c r="I50" s="115"/>
      <c r="J50" s="116"/>
      <c r="K50" s="101"/>
      <c r="L50" s="104"/>
      <c r="M50" s="104"/>
      <c r="N50" s="104"/>
      <c r="O50" s="104"/>
      <c r="P50" s="104"/>
      <c r="Q50" s="104"/>
    </row>
    <row r="51" spans="1:18" x14ac:dyDescent="0.25">
      <c r="A51" s="75" t="s">
        <v>451</v>
      </c>
      <c r="B51" s="44"/>
      <c r="C51" s="45"/>
      <c r="D51" s="45"/>
      <c r="E51" s="45"/>
      <c r="F51" s="45"/>
      <c r="G51" s="45"/>
      <c r="H51" s="115"/>
      <c r="I51" s="115"/>
      <c r="J51" s="116"/>
      <c r="K51" s="101"/>
      <c r="L51" s="104"/>
      <c r="M51" s="104"/>
      <c r="N51" s="104"/>
      <c r="O51" s="104"/>
      <c r="P51" s="104"/>
      <c r="Q51" s="104"/>
    </row>
    <row r="52" spans="1:18" x14ac:dyDescent="0.25">
      <c r="A52" s="44" t="s">
        <v>50</v>
      </c>
      <c r="B52" s="44">
        <v>3</v>
      </c>
      <c r="C52" s="45">
        <f>72+103</f>
        <v>175</v>
      </c>
      <c r="D52" s="45">
        <v>60</v>
      </c>
      <c r="E52" s="45">
        <v>0</v>
      </c>
      <c r="F52" s="45">
        <f>E52/9</f>
        <v>0</v>
      </c>
      <c r="G52" s="45"/>
      <c r="H52" s="115">
        <f t="shared" ref="H52:H60" si="19">D52*$M$9</f>
        <v>1.7999999999999998</v>
      </c>
      <c r="I52" s="115">
        <v>60</v>
      </c>
      <c r="J52" s="116">
        <f t="shared" ref="J52:J66" si="20">I52/12</f>
        <v>5</v>
      </c>
      <c r="K52" s="104"/>
      <c r="L52" s="104">
        <f t="shared" ref="L52:L65" si="21">SUM(E52)+(F52*3)*1.03</f>
        <v>0</v>
      </c>
      <c r="M52" s="104"/>
      <c r="N52" s="104"/>
      <c r="O52" s="104"/>
      <c r="P52" s="104"/>
      <c r="Q52" s="104"/>
    </row>
    <row r="53" spans="1:18" x14ac:dyDescent="0.25">
      <c r="A53" s="44" t="s">
        <v>51</v>
      </c>
      <c r="B53" s="44">
        <v>3</v>
      </c>
      <c r="C53" s="45">
        <f>27718+7379</f>
        <v>35097</v>
      </c>
      <c r="D53" s="45">
        <v>10420</v>
      </c>
      <c r="E53" s="45">
        <v>9955</v>
      </c>
      <c r="F53" s="45">
        <f t="shared" ref="F53:F63" si="22">E53/9</f>
        <v>1106.1111111111111</v>
      </c>
      <c r="G53" s="45"/>
      <c r="H53" s="115">
        <f t="shared" si="19"/>
        <v>312.59999999999997</v>
      </c>
      <c r="I53" s="115">
        <v>13370</v>
      </c>
      <c r="J53" s="116">
        <f t="shared" si="20"/>
        <v>1114.1666666666667</v>
      </c>
      <c r="K53" s="101" t="s">
        <v>433</v>
      </c>
      <c r="L53" s="104">
        <f t="shared" si="21"/>
        <v>13372.883333333333</v>
      </c>
      <c r="M53" s="104"/>
      <c r="N53" s="104"/>
      <c r="O53" s="104"/>
      <c r="P53" s="104"/>
      <c r="Q53" s="104"/>
    </row>
    <row r="54" spans="1:18" x14ac:dyDescent="0.25">
      <c r="A54" s="44" t="s">
        <v>302</v>
      </c>
      <c r="B54" s="44">
        <v>3</v>
      </c>
      <c r="C54" s="45">
        <f>2694+219</f>
        <v>2913</v>
      </c>
      <c r="D54" s="45">
        <v>300</v>
      </c>
      <c r="E54" s="45">
        <v>1888</v>
      </c>
      <c r="F54" s="45">
        <f t="shared" si="22"/>
        <v>209.77777777777777</v>
      </c>
      <c r="G54" s="45"/>
      <c r="H54" s="115">
        <f t="shared" si="19"/>
        <v>9</v>
      </c>
      <c r="I54" s="115">
        <v>1780</v>
      </c>
      <c r="J54" s="116">
        <f t="shared" si="20"/>
        <v>148.33333333333334</v>
      </c>
      <c r="K54" s="101" t="s">
        <v>608</v>
      </c>
      <c r="L54" s="104">
        <f t="shared" si="21"/>
        <v>2536.2133333333331</v>
      </c>
      <c r="M54" s="104"/>
      <c r="N54" s="104"/>
      <c r="O54" s="104"/>
      <c r="P54" s="104"/>
      <c r="Q54" s="104"/>
    </row>
    <row r="55" spans="1:18" x14ac:dyDescent="0.25">
      <c r="A55" s="44" t="s">
        <v>53</v>
      </c>
      <c r="B55" s="44">
        <v>3</v>
      </c>
      <c r="C55" s="45">
        <f>7486.14+4718</f>
        <v>12204.14</v>
      </c>
      <c r="D55" s="45">
        <v>3590</v>
      </c>
      <c r="E55" s="45">
        <v>2850</v>
      </c>
      <c r="F55" s="45">
        <f t="shared" si="22"/>
        <v>316.66666666666669</v>
      </c>
      <c r="G55" s="45"/>
      <c r="H55" s="115">
        <f t="shared" si="19"/>
        <v>107.7</v>
      </c>
      <c r="I55" s="115">
        <v>3840</v>
      </c>
      <c r="J55" s="116">
        <f t="shared" si="20"/>
        <v>320</v>
      </c>
      <c r="K55" s="101" t="s">
        <v>542</v>
      </c>
      <c r="L55" s="104">
        <f>SUM(E55)+(F55*3)*1.04</f>
        <v>3838</v>
      </c>
      <c r="M55" s="104"/>
      <c r="N55" s="104"/>
      <c r="O55" s="104"/>
      <c r="P55" s="104"/>
      <c r="Q55" s="104"/>
    </row>
    <row r="56" spans="1:18" x14ac:dyDescent="0.25">
      <c r="A56" s="44" t="s">
        <v>365</v>
      </c>
      <c r="B56" s="44">
        <v>3</v>
      </c>
      <c r="C56" s="45">
        <v>0</v>
      </c>
      <c r="D56" s="45">
        <v>120</v>
      </c>
      <c r="E56" s="45">
        <v>0</v>
      </c>
      <c r="F56" s="45">
        <f t="shared" si="22"/>
        <v>0</v>
      </c>
      <c r="G56" s="45"/>
      <c r="H56" s="115">
        <f t="shared" si="19"/>
        <v>3.5999999999999996</v>
      </c>
      <c r="I56" s="115">
        <v>120</v>
      </c>
      <c r="J56" s="116">
        <f t="shared" si="20"/>
        <v>10</v>
      </c>
      <c r="K56" s="104"/>
      <c r="L56" s="104">
        <f t="shared" si="21"/>
        <v>0</v>
      </c>
      <c r="M56" s="104"/>
      <c r="N56" s="104"/>
      <c r="O56" s="104"/>
      <c r="P56" s="104"/>
      <c r="Q56" s="104"/>
    </row>
    <row r="57" spans="1:18" x14ac:dyDescent="0.25">
      <c r="A57" s="44" t="s">
        <v>364</v>
      </c>
      <c r="B57" s="44">
        <v>3</v>
      </c>
      <c r="C57" s="45">
        <f>17256+7647</f>
        <v>24903</v>
      </c>
      <c r="D57" s="45">
        <v>8080</v>
      </c>
      <c r="E57" s="45">
        <v>6117</v>
      </c>
      <c r="F57" s="45">
        <f t="shared" si="22"/>
        <v>679.66666666666663</v>
      </c>
      <c r="G57" s="45"/>
      <c r="H57" s="115">
        <f t="shared" si="19"/>
        <v>242.39999999999998</v>
      </c>
      <c r="I57" s="115">
        <v>8220</v>
      </c>
      <c r="J57" s="116">
        <f t="shared" si="20"/>
        <v>685</v>
      </c>
      <c r="K57" s="104"/>
      <c r="L57" s="104">
        <f t="shared" si="21"/>
        <v>8217.17</v>
      </c>
      <c r="M57" s="104"/>
      <c r="N57" s="104"/>
      <c r="O57" s="104"/>
      <c r="P57" s="104"/>
      <c r="Q57" s="104"/>
    </row>
    <row r="58" spans="1:18" x14ac:dyDescent="0.25">
      <c r="A58" s="44" t="s">
        <v>56</v>
      </c>
      <c r="B58" s="44">
        <v>3</v>
      </c>
      <c r="C58" s="45">
        <f>67716.68+25953</f>
        <v>93669.68</v>
      </c>
      <c r="D58" s="45">
        <v>34040</v>
      </c>
      <c r="E58" s="45">
        <v>26336</v>
      </c>
      <c r="F58" s="45">
        <f t="shared" si="22"/>
        <v>2926.2222222222222</v>
      </c>
      <c r="G58" s="45"/>
      <c r="H58" s="115">
        <f t="shared" si="19"/>
        <v>1021.1999999999999</v>
      </c>
      <c r="I58" s="115">
        <v>35380</v>
      </c>
      <c r="J58" s="116">
        <f t="shared" si="20"/>
        <v>2948.3333333333335</v>
      </c>
      <c r="K58" s="104"/>
      <c r="L58" s="104">
        <f t="shared" si="21"/>
        <v>35378.026666666665</v>
      </c>
      <c r="M58" s="104"/>
      <c r="N58" s="104"/>
      <c r="O58" s="104"/>
      <c r="P58" s="104"/>
      <c r="Q58" s="104"/>
    </row>
    <row r="59" spans="1:18" x14ac:dyDescent="0.25">
      <c r="A59" s="44" t="s">
        <v>248</v>
      </c>
      <c r="B59" s="44">
        <v>3</v>
      </c>
      <c r="C59" s="45">
        <f>42815-8737</f>
        <v>34078</v>
      </c>
      <c r="D59" s="45">
        <v>7380</v>
      </c>
      <c r="E59" s="45">
        <v>3668</v>
      </c>
      <c r="F59" s="45">
        <f t="shared" si="22"/>
        <v>407.55555555555554</v>
      </c>
      <c r="G59" s="45"/>
      <c r="H59" s="115">
        <f t="shared" si="19"/>
        <v>221.4</v>
      </c>
      <c r="I59" s="115">
        <v>4930</v>
      </c>
      <c r="J59" s="116">
        <f t="shared" si="20"/>
        <v>410.83333333333331</v>
      </c>
      <c r="K59" s="104"/>
      <c r="L59" s="104">
        <f t="shared" si="21"/>
        <v>4927.3466666666664</v>
      </c>
      <c r="M59" s="104"/>
      <c r="N59" s="104"/>
      <c r="O59" s="104"/>
      <c r="P59" s="104"/>
      <c r="Q59" s="104"/>
    </row>
    <row r="60" spans="1:18" x14ac:dyDescent="0.25">
      <c r="A60" s="44" t="s">
        <v>55</v>
      </c>
      <c r="B60" s="44">
        <v>3</v>
      </c>
      <c r="C60" s="45">
        <f>41640-16009</f>
        <v>25631</v>
      </c>
      <c r="D60" s="45">
        <v>14540</v>
      </c>
      <c r="E60" s="45">
        <v>13262</v>
      </c>
      <c r="F60" s="45">
        <f t="shared" si="22"/>
        <v>1473.5555555555557</v>
      </c>
      <c r="G60" s="45"/>
      <c r="H60" s="115">
        <f t="shared" si="19"/>
        <v>436.2</v>
      </c>
      <c r="I60" s="115">
        <v>17810</v>
      </c>
      <c r="J60" s="116">
        <f t="shared" si="20"/>
        <v>1484.1666666666667</v>
      </c>
      <c r="K60" s="104"/>
      <c r="L60" s="104">
        <f t="shared" si="21"/>
        <v>17815.286666666667</v>
      </c>
      <c r="M60" s="104"/>
      <c r="N60" s="104"/>
      <c r="O60" s="104"/>
      <c r="P60" s="104"/>
      <c r="Q60" s="104"/>
    </row>
    <row r="61" spans="1:18" x14ac:dyDescent="0.25">
      <c r="A61" s="44" t="s">
        <v>496</v>
      </c>
      <c r="B61" s="44"/>
      <c r="C61" s="118"/>
      <c r="D61" s="45">
        <v>6000</v>
      </c>
      <c r="E61" s="46">
        <v>4331</v>
      </c>
      <c r="F61" s="46">
        <f t="shared" si="22"/>
        <v>481.22222222222223</v>
      </c>
      <c r="G61" s="46"/>
      <c r="H61" s="57">
        <v>0</v>
      </c>
      <c r="I61" s="57">
        <v>5820</v>
      </c>
      <c r="J61" s="58">
        <f t="shared" si="20"/>
        <v>485</v>
      </c>
      <c r="K61" s="101"/>
      <c r="L61" s="104">
        <f t="shared" si="21"/>
        <v>5817.9766666666665</v>
      </c>
      <c r="M61" s="104"/>
      <c r="N61" s="104"/>
      <c r="O61" s="104"/>
      <c r="P61" s="104"/>
      <c r="Q61" s="104"/>
      <c r="R61" s="104"/>
    </row>
    <row r="62" spans="1:18" x14ac:dyDescent="0.25">
      <c r="A62" s="44" t="s">
        <v>497</v>
      </c>
      <c r="B62" s="44"/>
      <c r="C62" s="118"/>
      <c r="D62" s="45">
        <v>3000</v>
      </c>
      <c r="E62" s="46">
        <v>6200</v>
      </c>
      <c r="F62" s="46">
        <f t="shared" si="22"/>
        <v>688.88888888888891</v>
      </c>
      <c r="G62" s="46"/>
      <c r="H62" s="57">
        <v>0</v>
      </c>
      <c r="I62" s="57">
        <v>8330</v>
      </c>
      <c r="J62" s="58">
        <f t="shared" si="20"/>
        <v>694.16666666666663</v>
      </c>
      <c r="K62" s="101"/>
      <c r="L62" s="104">
        <f t="shared" si="21"/>
        <v>8328.6666666666679</v>
      </c>
      <c r="M62" s="104"/>
      <c r="N62" s="104"/>
      <c r="O62" s="104"/>
      <c r="P62" s="104"/>
      <c r="Q62" s="104"/>
      <c r="R62" s="104"/>
    </row>
    <row r="63" spans="1:18" x14ac:dyDescent="0.25">
      <c r="A63" s="44" t="s">
        <v>369</v>
      </c>
      <c r="B63" s="44">
        <v>3</v>
      </c>
      <c r="C63" s="45">
        <v>3841.88</v>
      </c>
      <c r="D63" s="45">
        <v>4800</v>
      </c>
      <c r="E63" s="45">
        <v>0</v>
      </c>
      <c r="F63" s="45">
        <f t="shared" si="22"/>
        <v>0</v>
      </c>
      <c r="G63" s="45"/>
      <c r="H63" s="115">
        <v>0</v>
      </c>
      <c r="I63" s="115">
        <v>4800</v>
      </c>
      <c r="J63" s="116">
        <f t="shared" si="20"/>
        <v>400</v>
      </c>
      <c r="K63" s="101" t="s">
        <v>444</v>
      </c>
      <c r="L63" s="104">
        <f t="shared" si="21"/>
        <v>0</v>
      </c>
      <c r="M63" s="104"/>
      <c r="N63" s="104"/>
      <c r="O63" s="104"/>
      <c r="P63" s="104"/>
      <c r="Q63" s="104"/>
    </row>
    <row r="64" spans="1:18" hidden="1" x14ac:dyDescent="0.25">
      <c r="A64" s="44" t="s">
        <v>371</v>
      </c>
      <c r="B64" s="44">
        <v>3</v>
      </c>
      <c r="C64" s="45">
        <v>0</v>
      </c>
      <c r="D64" s="45">
        <v>0</v>
      </c>
      <c r="E64" s="45">
        <f t="shared" ref="E64" si="23">D64/12</f>
        <v>0</v>
      </c>
      <c r="F64" s="45">
        <f t="shared" ref="F64" si="24">E64/9*12</f>
        <v>0</v>
      </c>
      <c r="G64" s="45"/>
      <c r="H64" s="115">
        <f>D64*$M$9</f>
        <v>0</v>
      </c>
      <c r="I64" s="115">
        <f t="shared" ref="I64" si="25">D64+H64</f>
        <v>0</v>
      </c>
      <c r="J64" s="116">
        <f t="shared" si="20"/>
        <v>0</v>
      </c>
      <c r="K64" s="104"/>
      <c r="L64" s="104">
        <f t="shared" si="21"/>
        <v>0</v>
      </c>
      <c r="M64" s="104"/>
      <c r="N64" s="104"/>
      <c r="O64" s="104"/>
      <c r="P64" s="104"/>
      <c r="Q64" s="104"/>
    </row>
    <row r="65" spans="1:17" x14ac:dyDescent="0.25">
      <c r="A65" s="44" t="s">
        <v>57</v>
      </c>
      <c r="B65" s="44">
        <v>3</v>
      </c>
      <c r="C65" s="52">
        <f>21021.04-341</f>
        <v>20680.04</v>
      </c>
      <c r="D65" s="52">
        <v>9940</v>
      </c>
      <c r="E65" s="52">
        <v>6700</v>
      </c>
      <c r="F65" s="52">
        <f>E65/9</f>
        <v>744.44444444444446</v>
      </c>
      <c r="G65" s="52"/>
      <c r="H65" s="142">
        <f>D65*$M$9</f>
        <v>298.2</v>
      </c>
      <c r="I65" s="142">
        <v>9000</v>
      </c>
      <c r="J65" s="120">
        <f t="shared" si="20"/>
        <v>750</v>
      </c>
      <c r="K65" s="104"/>
      <c r="L65" s="104">
        <f t="shared" si="21"/>
        <v>9000.3333333333339</v>
      </c>
      <c r="M65" s="104"/>
      <c r="N65" s="104"/>
      <c r="O65" s="104"/>
      <c r="P65" s="104"/>
      <c r="Q65" s="104"/>
    </row>
    <row r="66" spans="1:17" x14ac:dyDescent="0.25">
      <c r="A66" s="75" t="s">
        <v>84</v>
      </c>
      <c r="B66" s="44"/>
      <c r="C66" s="45">
        <f>SUM(C52:C65)</f>
        <v>253192.74000000002</v>
      </c>
      <c r="D66" s="45">
        <f>SUM(D52:D65)</f>
        <v>102270</v>
      </c>
      <c r="E66" s="45">
        <f>SUM(E52:E65)</f>
        <v>81307</v>
      </c>
      <c r="F66" s="45">
        <f>SUM(F52:F65)</f>
        <v>9034.1111111111131</v>
      </c>
      <c r="G66" s="45"/>
      <c r="H66" s="115">
        <f>SUM(H52:H65)</f>
        <v>2654.0999999999995</v>
      </c>
      <c r="I66" s="115">
        <f>SUM(I52:I65)</f>
        <v>113460</v>
      </c>
      <c r="J66" s="116">
        <f t="shared" si="20"/>
        <v>9455</v>
      </c>
      <c r="K66" s="104"/>
      <c r="L66" s="104"/>
      <c r="M66" s="104"/>
      <c r="N66" s="104"/>
      <c r="O66" s="104"/>
      <c r="P66" s="104"/>
      <c r="Q66" s="104"/>
    </row>
    <row r="67" spans="1:17" x14ac:dyDescent="0.25">
      <c r="A67" s="44"/>
      <c r="B67" s="44"/>
      <c r="C67" s="45"/>
      <c r="D67" s="45"/>
      <c r="E67" s="45"/>
      <c r="F67" s="45"/>
      <c r="G67" s="45"/>
      <c r="H67" s="115"/>
      <c r="I67" s="115"/>
      <c r="J67" s="116"/>
      <c r="K67" s="104"/>
      <c r="L67" s="104"/>
      <c r="M67" s="104"/>
      <c r="N67" s="104"/>
      <c r="O67" s="104"/>
      <c r="P67" s="104"/>
      <c r="Q67" s="104"/>
    </row>
    <row r="68" spans="1:17" x14ac:dyDescent="0.25">
      <c r="A68" s="75" t="s">
        <v>452</v>
      </c>
      <c r="B68" s="44"/>
      <c r="C68" s="45"/>
      <c r="D68" s="45"/>
      <c r="E68" s="45"/>
      <c r="F68" s="45"/>
      <c r="G68" s="45"/>
      <c r="H68" s="115"/>
      <c r="I68" s="115"/>
      <c r="J68" s="116"/>
      <c r="K68" s="104"/>
      <c r="L68" s="104"/>
      <c r="M68" s="104"/>
      <c r="N68" s="104"/>
      <c r="O68" s="104"/>
      <c r="P68" s="104"/>
      <c r="Q68" s="104"/>
    </row>
    <row r="69" spans="1:17" x14ac:dyDescent="0.25">
      <c r="A69" s="44" t="s">
        <v>42</v>
      </c>
      <c r="B69" s="44">
        <v>3</v>
      </c>
      <c r="C69" s="45">
        <f>2959.24+5067</f>
        <v>8026.24</v>
      </c>
      <c r="D69" s="45">
        <v>4210</v>
      </c>
      <c r="E69" s="45">
        <v>2358</v>
      </c>
      <c r="F69" s="45">
        <f>E69/9</f>
        <v>262</v>
      </c>
      <c r="G69" s="45"/>
      <c r="H69" s="115">
        <f>D69*$O$69</f>
        <v>322.065</v>
      </c>
      <c r="I69" s="115">
        <v>4160</v>
      </c>
      <c r="J69" s="116">
        <f t="shared" ref="J69:J78" si="26">I69/12</f>
        <v>346.66666666666669</v>
      </c>
      <c r="K69" s="101" t="s">
        <v>425</v>
      </c>
      <c r="L69" s="104">
        <f>SUM($I$28+$I$33+$I$58)*7.65%</f>
        <v>4160.835</v>
      </c>
      <c r="M69" s="104"/>
      <c r="N69" s="104"/>
      <c r="O69" s="166">
        <v>7.6499999999999999E-2</v>
      </c>
      <c r="P69" s="104"/>
      <c r="Q69" s="104"/>
    </row>
    <row r="70" spans="1:17" x14ac:dyDescent="0.25">
      <c r="A70" s="44" t="s">
        <v>318</v>
      </c>
      <c r="B70" s="44">
        <v>3</v>
      </c>
      <c r="C70" s="45">
        <f>24716.73+12654</f>
        <v>37370.729999999996</v>
      </c>
      <c r="D70" s="45">
        <v>11320</v>
      </c>
      <c r="E70" s="45">
        <v>11915</v>
      </c>
      <c r="F70" s="45">
        <f t="shared" ref="F70:F77" si="27">E70/9</f>
        <v>1323.8888888888889</v>
      </c>
      <c r="G70" s="45"/>
      <c r="H70" s="115">
        <f>D70*$O$70</f>
        <v>566</v>
      </c>
      <c r="I70" s="115">
        <v>11970</v>
      </c>
      <c r="J70" s="116">
        <f t="shared" si="26"/>
        <v>997.5</v>
      </c>
      <c r="K70" s="101" t="s">
        <v>422</v>
      </c>
      <c r="L70" s="104">
        <f>SUM(E70)+(F70*3)*1.05</f>
        <v>16085.25</v>
      </c>
      <c r="M70" s="104"/>
      <c r="N70" s="104"/>
      <c r="O70" s="165">
        <v>0.05</v>
      </c>
      <c r="P70" s="104"/>
      <c r="Q70" s="104"/>
    </row>
    <row r="71" spans="1:17" x14ac:dyDescent="0.25">
      <c r="A71" s="44" t="s">
        <v>370</v>
      </c>
      <c r="B71" s="44">
        <v>3</v>
      </c>
      <c r="C71" s="45">
        <v>1310.01</v>
      </c>
      <c r="D71" s="45">
        <v>1600</v>
      </c>
      <c r="E71" s="45">
        <v>1443</v>
      </c>
      <c r="F71" s="45">
        <f t="shared" si="27"/>
        <v>160.33333333333334</v>
      </c>
      <c r="G71" s="45"/>
      <c r="H71" s="115">
        <f>D71*$M$9</f>
        <v>48</v>
      </c>
      <c r="I71" s="115">
        <v>1950</v>
      </c>
      <c r="J71" s="116">
        <f>I71/12</f>
        <v>162.5</v>
      </c>
      <c r="L71" s="104">
        <f>SUM(E71)+(F71*3)*1.05</f>
        <v>1948.05</v>
      </c>
      <c r="M71" s="104"/>
      <c r="N71" s="104"/>
      <c r="O71" s="104"/>
      <c r="P71" s="104"/>
      <c r="Q71" s="104"/>
    </row>
    <row r="72" spans="1:17" x14ac:dyDescent="0.25">
      <c r="A72" s="44" t="s">
        <v>59</v>
      </c>
      <c r="B72" s="44">
        <v>3</v>
      </c>
      <c r="C72" s="45">
        <f>15474.75+10995</f>
        <v>26469.75</v>
      </c>
      <c r="D72" s="45">
        <v>16530</v>
      </c>
      <c r="E72" s="45">
        <v>7154</v>
      </c>
      <c r="F72" s="45">
        <f t="shared" si="27"/>
        <v>794.88888888888891</v>
      </c>
      <c r="G72" s="45"/>
      <c r="H72" s="115">
        <f>D72*$O$72</f>
        <v>4959</v>
      </c>
      <c r="I72" s="115">
        <v>16320</v>
      </c>
      <c r="J72" s="116">
        <f>I72/12</f>
        <v>1360</v>
      </c>
      <c r="K72" s="101" t="s">
        <v>502</v>
      </c>
      <c r="L72" s="104">
        <f>SUM($I$28+$I$33+$I$58)*30%</f>
        <v>16317</v>
      </c>
      <c r="M72" s="104"/>
      <c r="N72" s="104"/>
      <c r="O72" s="165">
        <v>0.3</v>
      </c>
      <c r="P72" s="104"/>
      <c r="Q72" s="104"/>
    </row>
    <row r="73" spans="1:17" hidden="1" x14ac:dyDescent="0.25">
      <c r="A73" s="44" t="s">
        <v>60</v>
      </c>
      <c r="B73" s="44"/>
      <c r="C73" s="45"/>
      <c r="D73" s="45">
        <v>0</v>
      </c>
      <c r="E73" s="45">
        <v>0</v>
      </c>
      <c r="F73" s="45">
        <f t="shared" si="27"/>
        <v>0</v>
      </c>
      <c r="G73" s="45"/>
      <c r="H73" s="115">
        <v>0</v>
      </c>
      <c r="I73" s="115">
        <v>0</v>
      </c>
      <c r="J73" s="116">
        <f t="shared" ref="J73:J75" si="28">I73/12</f>
        <v>0</v>
      </c>
      <c r="K73" s="101"/>
      <c r="L73" s="104"/>
      <c r="M73" s="104"/>
      <c r="N73" s="104"/>
      <c r="O73" s="165"/>
      <c r="P73" s="104"/>
      <c r="Q73" s="104"/>
    </row>
    <row r="74" spans="1:17" x14ac:dyDescent="0.25">
      <c r="A74" s="44" t="s">
        <v>225</v>
      </c>
      <c r="B74" s="44">
        <v>3</v>
      </c>
      <c r="C74" s="45">
        <f>861.96-251</f>
        <v>610.96</v>
      </c>
      <c r="D74" s="45">
        <v>990</v>
      </c>
      <c r="E74" s="45">
        <v>1192</v>
      </c>
      <c r="F74" s="45">
        <f t="shared" si="27"/>
        <v>132.44444444444446</v>
      </c>
      <c r="G74" s="45"/>
      <c r="H74" s="115">
        <f>D74*$M$9</f>
        <v>29.7</v>
      </c>
      <c r="I74" s="115">
        <v>1690</v>
      </c>
      <c r="J74" s="116">
        <f t="shared" si="28"/>
        <v>140.83333333333334</v>
      </c>
      <c r="K74" s="101" t="s">
        <v>543</v>
      </c>
      <c r="L74" s="104">
        <f>SUM($I$28+$I$33+$I$58)*3%</f>
        <v>1631.7</v>
      </c>
      <c r="M74" s="104"/>
      <c r="N74" s="104"/>
      <c r="O74" s="104"/>
      <c r="P74" s="104"/>
      <c r="Q74" s="104"/>
    </row>
    <row r="75" spans="1:17" x14ac:dyDescent="0.25">
      <c r="A75" s="44" t="s">
        <v>61</v>
      </c>
      <c r="B75" s="44">
        <v>3</v>
      </c>
      <c r="C75" s="45">
        <f>27130.12-1061</f>
        <v>26069.119999999999</v>
      </c>
      <c r="D75" s="45">
        <v>2800</v>
      </c>
      <c r="E75" s="45">
        <v>2316</v>
      </c>
      <c r="F75" s="45">
        <f t="shared" si="27"/>
        <v>257.33333333333331</v>
      </c>
      <c r="G75" s="45"/>
      <c r="H75" s="115">
        <f t="shared" ref="H75" si="29">D75*$M$9</f>
        <v>84</v>
      </c>
      <c r="I75" s="115">
        <v>3110</v>
      </c>
      <c r="J75" s="116">
        <f t="shared" si="28"/>
        <v>259.16666666666669</v>
      </c>
      <c r="L75">
        <f t="shared" ref="L75:L77" si="30">SUM(E75)+(F75*3)*1.03</f>
        <v>3111.16</v>
      </c>
      <c r="M75" s="104"/>
      <c r="N75" s="104"/>
      <c r="O75" s="104"/>
      <c r="P75" s="104"/>
      <c r="Q75" s="104"/>
    </row>
    <row r="76" spans="1:17" x14ac:dyDescent="0.25">
      <c r="A76" s="44" t="s">
        <v>516</v>
      </c>
      <c r="B76" s="44"/>
      <c r="C76" s="45"/>
      <c r="D76" s="45">
        <v>2500</v>
      </c>
      <c r="E76" s="45">
        <v>242</v>
      </c>
      <c r="F76" s="45">
        <f t="shared" si="27"/>
        <v>26.888888888888889</v>
      </c>
      <c r="G76" s="45"/>
      <c r="H76" s="115"/>
      <c r="I76" s="115">
        <v>330</v>
      </c>
      <c r="J76" s="116">
        <f t="shared" si="26"/>
        <v>27.5</v>
      </c>
      <c r="K76" s="104"/>
      <c r="L76">
        <f t="shared" si="30"/>
        <v>325.0866666666667</v>
      </c>
      <c r="M76" s="104"/>
      <c r="N76" s="104"/>
      <c r="O76" s="104"/>
      <c r="P76" s="104"/>
      <c r="Q76" s="104"/>
    </row>
    <row r="77" spans="1:17" x14ac:dyDescent="0.25">
      <c r="A77" s="44" t="s">
        <v>346</v>
      </c>
      <c r="B77" s="44"/>
      <c r="C77" s="45"/>
      <c r="D77" s="45">
        <v>250</v>
      </c>
      <c r="E77" s="45">
        <v>0</v>
      </c>
      <c r="F77" s="45">
        <f t="shared" si="27"/>
        <v>0</v>
      </c>
      <c r="G77" s="45"/>
      <c r="H77" s="115"/>
      <c r="I77" s="115">
        <v>250</v>
      </c>
      <c r="J77" s="116">
        <f t="shared" si="26"/>
        <v>20.833333333333332</v>
      </c>
      <c r="K77" s="104"/>
      <c r="L77">
        <f t="shared" si="30"/>
        <v>0</v>
      </c>
      <c r="M77" s="104"/>
      <c r="N77" s="104"/>
      <c r="O77" s="104"/>
      <c r="P77" s="104"/>
      <c r="Q77" s="104"/>
    </row>
    <row r="78" spans="1:17" x14ac:dyDescent="0.25">
      <c r="A78" s="44" t="s">
        <v>62</v>
      </c>
      <c r="B78" s="44">
        <v>3</v>
      </c>
      <c r="C78" s="52">
        <v>165015.79666666666</v>
      </c>
      <c r="D78" s="52">
        <v>88690</v>
      </c>
      <c r="E78" s="52">
        <v>66585</v>
      </c>
      <c r="F78" s="52">
        <f>E78/9</f>
        <v>7398.333333333333</v>
      </c>
      <c r="G78" s="52"/>
      <c r="H78" s="142">
        <v>0</v>
      </c>
      <c r="I78" s="142">
        <v>88780</v>
      </c>
      <c r="J78" s="120">
        <f t="shared" si="26"/>
        <v>7398.333333333333</v>
      </c>
      <c r="K78" s="101" t="s">
        <v>253</v>
      </c>
      <c r="L78" s="104"/>
      <c r="M78" s="104"/>
      <c r="N78" s="104"/>
      <c r="O78" s="104"/>
      <c r="P78" s="104"/>
      <c r="Q78" s="104"/>
    </row>
    <row r="79" spans="1:17" x14ac:dyDescent="0.25">
      <c r="A79" s="75" t="s">
        <v>85</v>
      </c>
      <c r="B79" s="44"/>
      <c r="C79" s="45">
        <f t="shared" ref="C79:J79" si="31">SUM(C69:C78)</f>
        <v>264872.60666666669</v>
      </c>
      <c r="D79" s="45">
        <f t="shared" si="31"/>
        <v>128890</v>
      </c>
      <c r="E79" s="45">
        <f t="shared" si="31"/>
        <v>93205</v>
      </c>
      <c r="F79" s="45">
        <f>SUM(F69:F78)</f>
        <v>10356.111111111111</v>
      </c>
      <c r="G79" s="45"/>
      <c r="H79" s="115">
        <f t="shared" si="31"/>
        <v>6008.7650000000003</v>
      </c>
      <c r="I79" s="115">
        <f t="shared" si="31"/>
        <v>128560</v>
      </c>
      <c r="J79" s="116">
        <f t="shared" si="31"/>
        <v>10713.333333333334</v>
      </c>
      <c r="K79" s="104"/>
      <c r="L79" s="104"/>
      <c r="M79" s="104"/>
      <c r="N79" s="104"/>
      <c r="O79" s="104"/>
      <c r="P79" s="104"/>
      <c r="Q79" s="104"/>
    </row>
    <row r="80" spans="1:17" x14ac:dyDescent="0.25">
      <c r="A80" s="44"/>
      <c r="B80" s="44"/>
      <c r="C80" s="45"/>
      <c r="D80" s="45"/>
      <c r="E80" s="45"/>
      <c r="F80" s="45"/>
      <c r="G80" s="45"/>
      <c r="H80" s="115"/>
      <c r="I80" s="115"/>
      <c r="J80" s="116"/>
      <c r="K80" s="104"/>
      <c r="L80" s="104"/>
      <c r="M80" s="104"/>
      <c r="N80" s="104"/>
      <c r="O80" s="104"/>
      <c r="P80" s="104"/>
      <c r="Q80" s="104"/>
    </row>
    <row r="81" spans="1:17" x14ac:dyDescent="0.25">
      <c r="A81" s="75" t="s">
        <v>454</v>
      </c>
      <c r="B81" s="44"/>
      <c r="C81" s="45"/>
      <c r="D81" s="45"/>
      <c r="E81" s="45"/>
      <c r="F81" s="45"/>
      <c r="G81" s="45"/>
      <c r="H81" s="115"/>
      <c r="I81" s="115"/>
      <c r="J81" s="116"/>
      <c r="K81" s="104"/>
      <c r="L81" s="104"/>
      <c r="M81" s="104"/>
      <c r="N81" s="104"/>
      <c r="O81" s="104"/>
      <c r="P81" s="104"/>
      <c r="Q81" s="104"/>
    </row>
    <row r="82" spans="1:17" x14ac:dyDescent="0.25">
      <c r="A82" s="44" t="s">
        <v>307</v>
      </c>
      <c r="B82" s="44">
        <v>3</v>
      </c>
      <c r="C82" s="52">
        <v>229950.09</v>
      </c>
      <c r="D82" s="52">
        <v>102190</v>
      </c>
      <c r="E82" s="52">
        <v>76650</v>
      </c>
      <c r="F82" s="52">
        <f>E82/9</f>
        <v>8516.6666666666661</v>
      </c>
      <c r="G82" s="52"/>
      <c r="H82" s="142">
        <v>0</v>
      </c>
      <c r="I82" s="142">
        <f t="shared" ref="I82" si="32">D82+H82</f>
        <v>102190</v>
      </c>
      <c r="J82" s="120">
        <f t="shared" ref="J82" si="33">I82/12</f>
        <v>8515.8333333333339</v>
      </c>
      <c r="K82" s="101" t="s">
        <v>507</v>
      </c>
      <c r="L82" s="104"/>
      <c r="M82" s="104"/>
      <c r="N82" s="104"/>
      <c r="O82" s="104"/>
      <c r="P82" s="104"/>
      <c r="Q82" s="104"/>
    </row>
    <row r="83" spans="1:17" x14ac:dyDescent="0.25">
      <c r="A83" s="75" t="s">
        <v>308</v>
      </c>
      <c r="B83" s="44"/>
      <c r="C83" s="45">
        <f>SUM(C78:C80)</f>
        <v>429888.40333333332</v>
      </c>
      <c r="D83" s="45">
        <f>SUM(D82:D82)</f>
        <v>102190</v>
      </c>
      <c r="E83" s="45">
        <f>SUM(E82:E82)</f>
        <v>76650</v>
      </c>
      <c r="F83" s="45">
        <f>SUM(F82:F82)</f>
        <v>8516.6666666666661</v>
      </c>
      <c r="G83" s="45"/>
      <c r="H83" s="115">
        <f>SUM(H80:H82)</f>
        <v>0</v>
      </c>
      <c r="I83" s="115">
        <f>SUM(I82:I82)</f>
        <v>102190</v>
      </c>
      <c r="J83" s="116">
        <f>SUM(J82:J82)</f>
        <v>8515.8333333333339</v>
      </c>
      <c r="K83" s="101"/>
      <c r="L83" s="104"/>
      <c r="M83" s="104"/>
      <c r="N83" s="104"/>
      <c r="O83" s="104"/>
      <c r="P83" s="104"/>
      <c r="Q83" s="104"/>
    </row>
    <row r="84" spans="1:17" x14ac:dyDescent="0.25">
      <c r="A84" s="75"/>
      <c r="B84" s="44"/>
      <c r="C84" s="45"/>
      <c r="D84" s="45"/>
      <c r="E84" s="45"/>
      <c r="F84" s="45"/>
      <c r="G84" s="45"/>
      <c r="H84" s="115"/>
      <c r="I84" s="115"/>
      <c r="J84" s="116"/>
      <c r="K84" s="101"/>
      <c r="L84" s="104"/>
      <c r="M84" s="104"/>
      <c r="N84" s="104"/>
      <c r="O84" s="104"/>
      <c r="P84" s="104"/>
      <c r="Q84" s="104"/>
    </row>
    <row r="85" spans="1:17" x14ac:dyDescent="0.25">
      <c r="A85" s="75" t="s">
        <v>78</v>
      </c>
      <c r="B85" s="44"/>
      <c r="C85" s="45"/>
      <c r="D85" s="45"/>
      <c r="E85" s="45"/>
      <c r="F85" s="45"/>
      <c r="G85" s="45"/>
      <c r="H85" s="115"/>
      <c r="I85" s="115"/>
      <c r="J85" s="116"/>
      <c r="K85" s="101"/>
      <c r="L85" s="104"/>
      <c r="M85" s="104"/>
      <c r="N85" s="104"/>
      <c r="O85" s="104"/>
      <c r="P85" s="104"/>
      <c r="Q85" s="104"/>
    </row>
    <row r="86" spans="1:17" x14ac:dyDescent="0.25">
      <c r="A86" s="44" t="s">
        <v>447</v>
      </c>
      <c r="B86" s="44"/>
      <c r="C86" s="45"/>
      <c r="D86" s="45">
        <v>42000</v>
      </c>
      <c r="E86" s="45">
        <v>0</v>
      </c>
      <c r="F86" s="45">
        <f>E86/9</f>
        <v>0</v>
      </c>
      <c r="G86" s="45"/>
      <c r="H86" s="115"/>
      <c r="I86" s="115">
        <v>42000</v>
      </c>
      <c r="J86" s="116">
        <f>I86/12</f>
        <v>3500</v>
      </c>
      <c r="K86" s="101"/>
      <c r="L86" s="104"/>
      <c r="M86" s="104"/>
      <c r="N86" s="104"/>
      <c r="O86" s="104"/>
      <c r="P86" s="104"/>
      <c r="Q86" s="104"/>
    </row>
    <row r="87" spans="1:17" x14ac:dyDescent="0.25">
      <c r="A87" s="44" t="s">
        <v>309</v>
      </c>
      <c r="B87" s="44">
        <v>3</v>
      </c>
      <c r="C87" s="52">
        <v>38404</v>
      </c>
      <c r="D87" s="52">
        <v>16500</v>
      </c>
      <c r="E87" s="52">
        <v>12375</v>
      </c>
      <c r="F87" s="52">
        <f>E87/9</f>
        <v>1375</v>
      </c>
      <c r="G87" s="52"/>
      <c r="H87" s="142">
        <v>0</v>
      </c>
      <c r="I87" s="142">
        <f t="shared" ref="I87" si="34">D87+H87</f>
        <v>16500</v>
      </c>
      <c r="J87" s="120">
        <f t="shared" ref="J87" si="35">I87/12</f>
        <v>1375</v>
      </c>
      <c r="K87" s="104"/>
      <c r="L87" s="104"/>
      <c r="M87" s="104"/>
      <c r="N87" s="104"/>
      <c r="O87" s="104"/>
      <c r="P87" s="104"/>
      <c r="Q87" s="104"/>
    </row>
    <row r="88" spans="1:17" x14ac:dyDescent="0.25">
      <c r="A88" s="75" t="s">
        <v>86</v>
      </c>
      <c r="B88" s="44"/>
      <c r="C88" s="45">
        <f>SUM(C84:C87)</f>
        <v>38404</v>
      </c>
      <c r="D88" s="45">
        <f>SUM(D86:D87)</f>
        <v>58500</v>
      </c>
      <c r="E88" s="45">
        <f>SUM(E86:E87)</f>
        <v>12375</v>
      </c>
      <c r="F88" s="45">
        <f>SUM(F86:F87)</f>
        <v>1375</v>
      </c>
      <c r="G88" s="45"/>
      <c r="H88" s="115">
        <f>SUM(H84:H87)</f>
        <v>0</v>
      </c>
      <c r="I88" s="115">
        <f>SUM(I86:I87)</f>
        <v>58500</v>
      </c>
      <c r="J88" s="116">
        <f>SUM(J86:J87)</f>
        <v>4875</v>
      </c>
      <c r="K88" s="101"/>
      <c r="L88" s="104"/>
      <c r="M88" s="104"/>
      <c r="N88" s="104"/>
      <c r="O88" s="104"/>
      <c r="P88" s="104"/>
      <c r="Q88" s="104"/>
    </row>
    <row r="89" spans="1:17" x14ac:dyDescent="0.25">
      <c r="A89" s="75"/>
      <c r="B89" s="44"/>
      <c r="C89" s="45"/>
      <c r="D89" s="45"/>
      <c r="E89" s="45"/>
      <c r="F89" s="45"/>
      <c r="G89" s="45"/>
      <c r="H89" s="115"/>
      <c r="I89" s="115"/>
      <c r="J89" s="116"/>
      <c r="K89" s="101"/>
      <c r="L89" s="104"/>
      <c r="M89" s="104"/>
      <c r="N89" s="104"/>
      <c r="O89" s="104"/>
      <c r="P89" s="104"/>
      <c r="Q89" s="104"/>
    </row>
    <row r="90" spans="1:17" hidden="1" x14ac:dyDescent="0.25">
      <c r="A90" s="75" t="s">
        <v>453</v>
      </c>
      <c r="B90" s="44"/>
      <c r="C90" s="45"/>
      <c r="D90" s="45"/>
      <c r="E90" s="45"/>
      <c r="F90" s="45"/>
      <c r="G90" s="45"/>
      <c r="H90" s="115"/>
      <c r="I90" s="115"/>
      <c r="J90" s="116"/>
      <c r="K90" s="101"/>
      <c r="L90" s="104"/>
      <c r="M90" s="104"/>
      <c r="N90" s="104"/>
      <c r="O90" s="104"/>
      <c r="P90" s="104"/>
      <c r="Q90" s="104"/>
    </row>
    <row r="91" spans="1:17" hidden="1" x14ac:dyDescent="0.25">
      <c r="A91" s="44" t="s">
        <v>291</v>
      </c>
      <c r="B91" s="44">
        <v>3</v>
      </c>
      <c r="C91" s="45">
        <v>4008</v>
      </c>
      <c r="D91" s="45">
        <v>0</v>
      </c>
      <c r="E91" s="45">
        <v>0</v>
      </c>
      <c r="F91" s="45">
        <f>E91/9</f>
        <v>0</v>
      </c>
      <c r="G91" s="45"/>
      <c r="H91" s="115">
        <v>0</v>
      </c>
      <c r="I91" s="115">
        <v>0</v>
      </c>
      <c r="J91" s="171">
        <f>I91/12</f>
        <v>0</v>
      </c>
      <c r="K91" s="101"/>
      <c r="L91" s="104"/>
      <c r="M91" s="104"/>
      <c r="N91" s="104"/>
      <c r="O91" s="104"/>
      <c r="P91" s="104"/>
      <c r="Q91" s="104"/>
    </row>
    <row r="92" spans="1:17" hidden="1" x14ac:dyDescent="0.25">
      <c r="A92" s="44" t="s">
        <v>25</v>
      </c>
      <c r="B92" s="44">
        <v>3</v>
      </c>
      <c r="C92" s="45">
        <v>41846.333333333328</v>
      </c>
      <c r="D92" s="45">
        <v>0</v>
      </c>
      <c r="E92" s="45">
        <v>0</v>
      </c>
      <c r="F92" s="45">
        <f t="shared" ref="F92:F94" si="36">E92/9</f>
        <v>0</v>
      </c>
      <c r="G92" s="45"/>
      <c r="H92" s="115">
        <f>SUM(H89:H91)</f>
        <v>0</v>
      </c>
      <c r="I92" s="115">
        <v>0</v>
      </c>
      <c r="J92" s="116">
        <f>SUM(J89:J91)</f>
        <v>0</v>
      </c>
      <c r="K92" s="101"/>
      <c r="L92" s="104"/>
      <c r="M92" s="104"/>
      <c r="N92" s="104"/>
      <c r="O92" s="104"/>
      <c r="P92" s="104"/>
      <c r="Q92" s="104"/>
    </row>
    <row r="93" spans="1:17" hidden="1" x14ac:dyDescent="0.25">
      <c r="A93" s="44" t="s">
        <v>320</v>
      </c>
      <c r="B93" s="44">
        <v>3</v>
      </c>
      <c r="C93" s="45">
        <v>4980</v>
      </c>
      <c r="D93" s="45">
        <v>0</v>
      </c>
      <c r="E93" s="45">
        <v>0</v>
      </c>
      <c r="F93" s="45">
        <f t="shared" si="36"/>
        <v>0</v>
      </c>
      <c r="G93" s="45"/>
      <c r="H93" s="115">
        <f>SUM(H91:H92)</f>
        <v>0</v>
      </c>
      <c r="I93" s="115">
        <v>0</v>
      </c>
      <c r="J93" s="116">
        <f>SUM(J91:J92)</f>
        <v>0</v>
      </c>
      <c r="K93" s="101"/>
      <c r="L93" s="104"/>
      <c r="M93" s="104"/>
      <c r="N93" s="104"/>
      <c r="O93" s="104"/>
      <c r="P93" s="104"/>
      <c r="Q93" s="104"/>
    </row>
    <row r="94" spans="1:17" hidden="1" x14ac:dyDescent="0.25">
      <c r="A94" s="44" t="s">
        <v>313</v>
      </c>
      <c r="B94" s="44">
        <v>3</v>
      </c>
      <c r="C94" s="45">
        <v>9400.4333333333343</v>
      </c>
      <c r="D94" s="45">
        <v>0</v>
      </c>
      <c r="E94" s="45">
        <v>0</v>
      </c>
      <c r="F94" s="45">
        <f t="shared" si="36"/>
        <v>0</v>
      </c>
      <c r="G94" s="45"/>
      <c r="H94" s="115">
        <v>0</v>
      </c>
      <c r="I94" s="115">
        <v>0</v>
      </c>
      <c r="J94" s="116">
        <f t="shared" ref="J94:J96" si="37">I94/12</f>
        <v>0</v>
      </c>
      <c r="K94" s="101"/>
      <c r="L94" s="104"/>
      <c r="M94" s="104"/>
      <c r="N94" s="104"/>
      <c r="O94" s="104"/>
      <c r="P94" s="104"/>
      <c r="Q94" s="104"/>
    </row>
    <row r="95" spans="1:17" hidden="1" x14ac:dyDescent="0.25">
      <c r="A95" s="44" t="s">
        <v>26</v>
      </c>
      <c r="B95" s="44">
        <v>3</v>
      </c>
      <c r="C95" s="45">
        <v>70491.33</v>
      </c>
      <c r="D95" s="52">
        <v>0</v>
      </c>
      <c r="E95" s="52">
        <v>0</v>
      </c>
      <c r="F95" s="52">
        <f>E95/9</f>
        <v>0</v>
      </c>
      <c r="G95" s="52"/>
      <c r="H95" s="142">
        <v>0</v>
      </c>
      <c r="I95" s="142">
        <v>0</v>
      </c>
      <c r="J95" s="120">
        <f t="shared" si="37"/>
        <v>0</v>
      </c>
      <c r="K95" s="101"/>
      <c r="L95" s="104"/>
      <c r="M95" s="104"/>
      <c r="N95" s="104"/>
      <c r="O95" s="104"/>
      <c r="P95" s="104"/>
      <c r="Q95" s="104"/>
    </row>
    <row r="96" spans="1:17" hidden="1" x14ac:dyDescent="0.25">
      <c r="A96" s="44" t="s">
        <v>65</v>
      </c>
      <c r="B96" s="44">
        <v>3</v>
      </c>
      <c r="C96" s="119">
        <v>0</v>
      </c>
      <c r="D96" s="119">
        <v>0</v>
      </c>
      <c r="E96" s="52">
        <f t="shared" ref="E96" si="38">D96/12</f>
        <v>0</v>
      </c>
      <c r="F96" s="52"/>
      <c r="G96" s="52"/>
      <c r="H96" s="142">
        <f>SUM(H88:H95)</f>
        <v>0</v>
      </c>
      <c r="I96" s="142">
        <v>0</v>
      </c>
      <c r="J96" s="120">
        <f t="shared" si="37"/>
        <v>0</v>
      </c>
      <c r="K96" s="101" t="s">
        <v>418</v>
      </c>
      <c r="L96" s="104"/>
      <c r="M96" s="104"/>
      <c r="N96" s="104"/>
      <c r="O96" s="104"/>
      <c r="P96" s="104"/>
      <c r="Q96" s="104"/>
    </row>
    <row r="97" spans="1:17" ht="15.75" thickBot="1" x14ac:dyDescent="0.3">
      <c r="A97" s="75"/>
      <c r="B97" s="44"/>
      <c r="C97" s="45">
        <f t="shared" ref="C97:H97" si="39">SUM(C91:C96)</f>
        <v>130726.09666666666</v>
      </c>
      <c r="D97" s="45"/>
      <c r="E97" s="45"/>
      <c r="F97" s="45"/>
      <c r="G97" s="45"/>
      <c r="H97" s="143">
        <f t="shared" si="39"/>
        <v>0</v>
      </c>
      <c r="I97" s="97"/>
      <c r="J97" s="98"/>
      <c r="K97" s="101"/>
      <c r="L97" s="104"/>
      <c r="M97" s="104"/>
      <c r="N97" s="104"/>
      <c r="O97" s="104"/>
      <c r="P97" s="104"/>
      <c r="Q97" s="104"/>
    </row>
    <row r="98" spans="1:17" x14ac:dyDescent="0.25">
      <c r="A98" s="44"/>
      <c r="B98" s="44"/>
      <c r="C98" s="44"/>
      <c r="D98" s="44"/>
      <c r="E98" s="44"/>
      <c r="F98" s="44"/>
      <c r="G98" s="44"/>
      <c r="H98" s="104"/>
      <c r="I98" s="104"/>
      <c r="J98" s="104"/>
      <c r="K98" s="104"/>
      <c r="L98" s="104"/>
      <c r="M98" s="104"/>
      <c r="N98" s="104"/>
      <c r="O98" s="104"/>
      <c r="P98" s="104"/>
      <c r="Q98" s="104"/>
    </row>
  </sheetData>
  <customSheetViews>
    <customSheetView guid="{D54A66AC-88E3-46FB-AFE3-2E559F565FEB}" scale="80" hiddenRows="1" hiddenColumns="1">
      <pane xSplit="2" ySplit="4" topLeftCell="D26" activePane="bottomRight" state="frozen"/>
      <selection pane="bottomRight" activeCell="L1" sqref="L1:P1048576"/>
      <pageMargins left="0.75" right="0.75" top="1" bottom="1" header="0.5" footer="0.5"/>
      <pageSetup scale="44" fitToHeight="2" orientation="portrait" r:id="rId1"/>
      <headerFooter alignWithMargins="0"/>
    </customSheetView>
  </customSheetViews>
  <pageMargins left="0.75" right="0.75" top="1" bottom="1" header="0.5" footer="0.5"/>
  <pageSetup scale="44" fitToHeight="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Consolidation Rollup</vt:lpstr>
      <vt:lpstr>JCHA </vt:lpstr>
      <vt:lpstr>Vouchers</vt:lpstr>
      <vt:lpstr>Canyon Gate</vt:lpstr>
      <vt:lpstr>Green Ridge</vt:lpstr>
      <vt:lpstr>Caesar Sq</vt:lpstr>
      <vt:lpstr>Mtn View</vt:lpstr>
      <vt:lpstr>Kendall Apts</vt:lpstr>
      <vt:lpstr>Viking Sq</vt:lpstr>
      <vt:lpstr>Aspen Ridge</vt:lpstr>
      <vt:lpstr>Redwood Village</vt:lpstr>
      <vt:lpstr>Rehab</vt:lpstr>
      <vt:lpstr>Glendale</vt:lpstr>
      <vt:lpstr>Harlan</vt:lpstr>
      <vt:lpstr>Lewis Ct</vt:lpstr>
      <vt:lpstr>2013</vt:lpstr>
      <vt:lpstr>2012</vt:lpstr>
      <vt:lpstr>'Aspen Ridge'!Print_Area</vt:lpstr>
      <vt:lpstr>'Caesar Sq'!Print_Area</vt:lpstr>
      <vt:lpstr>'Canyon Gate'!Print_Area</vt:lpstr>
      <vt:lpstr>'Consolidation Rollup'!Print_Area</vt:lpstr>
      <vt:lpstr>Glendale!Print_Area</vt:lpstr>
      <vt:lpstr>'Green Ridge'!Print_Area</vt:lpstr>
      <vt:lpstr>Harlan!Print_Area</vt:lpstr>
      <vt:lpstr>'JCHA '!Print_Area</vt:lpstr>
      <vt:lpstr>'Kendall Apts'!Print_Area</vt:lpstr>
      <vt:lpstr>'Lewis Ct'!Print_Area</vt:lpstr>
      <vt:lpstr>'Mtn View'!Print_Area</vt:lpstr>
      <vt:lpstr>'Redwood Village'!Print_Area</vt:lpstr>
      <vt:lpstr>Rehab!Print_Area</vt:lpstr>
      <vt:lpstr>'Viking Sq'!Print_Area</vt:lpstr>
      <vt:lpstr>Vouchers!Print_Area</vt:lpstr>
      <vt:lpstr>'Aspen Ridge'!Print_Titles</vt:lpstr>
      <vt:lpstr>'Canyon Gate'!Print_Titles</vt:lpstr>
      <vt:lpstr>'Consolidation Rollup'!Print_Titles</vt:lpstr>
      <vt:lpstr>Glendale!Print_Titles</vt:lpstr>
      <vt:lpstr>'Green Ridge'!Print_Titles</vt:lpstr>
      <vt:lpstr>Harlan!Print_Titles</vt:lpstr>
      <vt:lpstr>'Kendall Apts'!Print_Titles</vt:lpstr>
      <vt:lpstr>'Lewis Ct'!Print_Titles</vt:lpstr>
      <vt:lpstr>'Viking Sq'!Print_Titles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Roberts</dc:creator>
  <cp:lastModifiedBy>Keith Roberts</cp:lastModifiedBy>
  <cp:lastPrinted>2016-12-07T15:56:52Z</cp:lastPrinted>
  <dcterms:created xsi:type="dcterms:W3CDTF">2014-11-07T22:39:33Z</dcterms:created>
  <dcterms:modified xsi:type="dcterms:W3CDTF">2017-02-03T21:57:38Z</dcterms:modified>
</cp:coreProperties>
</file>