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revisionsPassword="C57C" lockRevision="1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Sheet1!$A$1:$S$132</definedName>
    <definedName name="_xlnm.Print_Titles" localSheetId="0">Sheet1!$1:$5</definedName>
    <definedName name="Z_4CBC424B_E91A_4546_BB5E_0558CEEBD15B_.wvu.Cols" localSheetId="0" hidden="1">Sheet1!$C:$C,Sheet1!$H:$R</definedName>
    <definedName name="Z_4CBC424B_E91A_4546_BB5E_0558CEEBD15B_.wvu.PrintArea" localSheetId="0" hidden="1">Sheet1!$A$1:$S$132</definedName>
    <definedName name="Z_4CBC424B_E91A_4546_BB5E_0558CEEBD15B_.wvu.PrintTitles" localSheetId="0" hidden="1">Sheet1!$1:$5</definedName>
  </definedNames>
  <calcPr calcId="145621"/>
  <customWorkbookViews>
    <customWorkbookView name="Keith Roberts - Personal View" guid="{4CBC424B-E91A-4546-BB5E-0558CEEBD15B}" mergeInterval="0" personalView="1" maximized="1" windowWidth="1600" windowHeight="714" activeSheetId="1"/>
  </customWorkbookViews>
  <fileRecoveryPr repairLoad="1"/>
</workbook>
</file>

<file path=xl/calcChain.xml><?xml version="1.0" encoding="utf-8"?>
<calcChain xmlns="http://schemas.openxmlformats.org/spreadsheetml/2006/main">
  <c r="H10" i="1" l="1"/>
  <c r="H13" i="1"/>
  <c r="H17" i="1" s="1"/>
  <c r="H38" i="1" s="1"/>
  <c r="H22" i="1"/>
  <c r="H36" i="1"/>
  <c r="H44" i="1"/>
  <c r="H70" i="1"/>
  <c r="H73" i="1"/>
  <c r="H77" i="1"/>
  <c r="H90" i="1"/>
  <c r="H96" i="1"/>
  <c r="H108" i="1"/>
  <c r="H116" i="1"/>
  <c r="H121" i="1"/>
  <c r="H129" i="1"/>
  <c r="I10" i="1"/>
  <c r="I38" i="1" s="1"/>
  <c r="I13" i="1"/>
  <c r="I17" i="1"/>
  <c r="I22" i="1"/>
  <c r="I36" i="1"/>
  <c r="I55" i="1"/>
  <c r="I67" i="1"/>
  <c r="I70" i="1"/>
  <c r="I73" i="1"/>
  <c r="I90" i="1" s="1"/>
  <c r="I77" i="1"/>
  <c r="I94" i="1"/>
  <c r="I56" i="1" s="1"/>
  <c r="I96" i="1"/>
  <c r="I97" i="1"/>
  <c r="I100" i="1"/>
  <c r="I108" i="1"/>
  <c r="I116" i="1"/>
  <c r="I121" i="1"/>
  <c r="I129" i="1"/>
  <c r="J10" i="1"/>
  <c r="J13" i="1" s="1"/>
  <c r="J17" i="1" s="1"/>
  <c r="J38" i="1" s="1"/>
  <c r="J22" i="1"/>
  <c r="J36" i="1"/>
  <c r="J44" i="1"/>
  <c r="J70" i="1"/>
  <c r="J73" i="1"/>
  <c r="J77" i="1"/>
  <c r="J78" i="1"/>
  <c r="J82" i="1"/>
  <c r="J96" i="1"/>
  <c r="J108" i="1"/>
  <c r="J116" i="1"/>
  <c r="J121" i="1"/>
  <c r="J129" i="1"/>
  <c r="K10" i="1"/>
  <c r="K13" i="1"/>
  <c r="K17" i="1" s="1"/>
  <c r="K22" i="1"/>
  <c r="K36" i="1"/>
  <c r="K67" i="1"/>
  <c r="K70" i="1" s="1"/>
  <c r="K73" i="1"/>
  <c r="K97" i="1" s="1"/>
  <c r="K77" i="1"/>
  <c r="K83" i="1"/>
  <c r="K90" i="1"/>
  <c r="K94" i="1"/>
  <c r="K96" i="1"/>
  <c r="K108" i="1"/>
  <c r="K116" i="1"/>
  <c r="K121" i="1"/>
  <c r="K129" i="1"/>
  <c r="L10" i="1"/>
  <c r="L13" i="1" s="1"/>
  <c r="L17" i="1" s="1"/>
  <c r="L22" i="1"/>
  <c r="L36" i="1"/>
  <c r="L70" i="1"/>
  <c r="L73" i="1"/>
  <c r="L77" i="1"/>
  <c r="L90" i="1"/>
  <c r="L94" i="1"/>
  <c r="L96" i="1"/>
  <c r="L108" i="1"/>
  <c r="L116" i="1"/>
  <c r="L121" i="1"/>
  <c r="L129" i="1"/>
  <c r="M10" i="1"/>
  <c r="M38" i="1" s="1"/>
  <c r="M13" i="1"/>
  <c r="M17" i="1"/>
  <c r="M22" i="1"/>
  <c r="M36" i="1"/>
  <c r="M67" i="1"/>
  <c r="M70" i="1" s="1"/>
  <c r="M73" i="1"/>
  <c r="M97" i="1" s="1"/>
  <c r="M77" i="1"/>
  <c r="M82" i="1"/>
  <c r="M96" i="1"/>
  <c r="M108" i="1"/>
  <c r="M116" i="1"/>
  <c r="M121" i="1"/>
  <c r="M129" i="1"/>
  <c r="N10" i="1"/>
  <c r="N13" i="1" s="1"/>
  <c r="N17" i="1" s="1"/>
  <c r="O10" i="1"/>
  <c r="O13" i="1" s="1"/>
  <c r="O17" i="1" s="1"/>
  <c r="O38" i="1" s="1"/>
  <c r="P10" i="1"/>
  <c r="P13" i="1" s="1"/>
  <c r="P17" i="1" s="1"/>
  <c r="Q10" i="1"/>
  <c r="Q13" i="1" s="1"/>
  <c r="Q17" i="1" s="1"/>
  <c r="Q38" i="1" s="1"/>
  <c r="R10" i="1"/>
  <c r="R13" i="1" s="1"/>
  <c r="R17" i="1" s="1"/>
  <c r="R38" i="1" s="1"/>
  <c r="N22" i="1"/>
  <c r="O22" i="1"/>
  <c r="P22" i="1"/>
  <c r="Q22" i="1"/>
  <c r="R22" i="1"/>
  <c r="N36" i="1"/>
  <c r="O36" i="1"/>
  <c r="P36" i="1"/>
  <c r="Q36" i="1"/>
  <c r="R36" i="1"/>
  <c r="R49" i="1"/>
  <c r="R52" i="1"/>
  <c r="O67" i="1"/>
  <c r="O70" i="1" s="1"/>
  <c r="Q67" i="1"/>
  <c r="Q70" i="1" s="1"/>
  <c r="N70" i="1"/>
  <c r="P70" i="1"/>
  <c r="R70" i="1"/>
  <c r="N73" i="1"/>
  <c r="N94" i="1" s="1"/>
  <c r="O73" i="1"/>
  <c r="O97" i="1" s="1"/>
  <c r="P73" i="1"/>
  <c r="Q73" i="1"/>
  <c r="Q94" i="1" s="1"/>
  <c r="R73" i="1"/>
  <c r="N77" i="1"/>
  <c r="O77" i="1"/>
  <c r="P77" i="1"/>
  <c r="Q77" i="1"/>
  <c r="R77" i="1"/>
  <c r="P82" i="1"/>
  <c r="Q82" i="1"/>
  <c r="R82" i="1"/>
  <c r="N96" i="1"/>
  <c r="O96" i="1"/>
  <c r="P96" i="1"/>
  <c r="Q96" i="1"/>
  <c r="R96" i="1"/>
  <c r="N108" i="1"/>
  <c r="O108" i="1"/>
  <c r="P108" i="1"/>
  <c r="Q108" i="1"/>
  <c r="R108" i="1"/>
  <c r="N116" i="1"/>
  <c r="O116" i="1"/>
  <c r="P116" i="1"/>
  <c r="Q116" i="1"/>
  <c r="R116" i="1"/>
  <c r="N121" i="1"/>
  <c r="O121" i="1"/>
  <c r="P121" i="1"/>
  <c r="Q121" i="1"/>
  <c r="R121" i="1"/>
  <c r="N129" i="1"/>
  <c r="O129" i="1"/>
  <c r="P129" i="1"/>
  <c r="Q129" i="1"/>
  <c r="R129" i="1"/>
  <c r="H51" i="1" l="1"/>
  <c r="N100" i="1"/>
  <c r="I51" i="1"/>
  <c r="I63" i="1" s="1"/>
  <c r="I102" i="1" s="1"/>
  <c r="I104" i="1"/>
  <c r="I123" i="1" s="1"/>
  <c r="I131" i="1" s="1"/>
  <c r="H56" i="1"/>
  <c r="N97" i="1"/>
  <c r="R90" i="1"/>
  <c r="H94" i="1"/>
  <c r="K100" i="1"/>
  <c r="L38" i="1"/>
  <c r="L51" i="1" s="1"/>
  <c r="L63" i="1" s="1"/>
  <c r="N56" i="1"/>
  <c r="R94" i="1"/>
  <c r="R56" i="1" s="1"/>
  <c r="P94" i="1"/>
  <c r="P56" i="1" s="1"/>
  <c r="N38" i="1"/>
  <c r="O94" i="1"/>
  <c r="O100" i="1" s="1"/>
  <c r="L56" i="1"/>
  <c r="H97" i="1"/>
  <c r="O51" i="1"/>
  <c r="N51" i="1"/>
  <c r="N63" i="1" s="1"/>
  <c r="N102" i="1" s="1"/>
  <c r="N104" i="1"/>
  <c r="N123" i="1" s="1"/>
  <c r="N131" i="1" s="1"/>
  <c r="R51" i="1"/>
  <c r="Q51" i="1"/>
  <c r="J51" i="1"/>
  <c r="K38" i="1"/>
  <c r="J56" i="1"/>
  <c r="R100" i="1"/>
  <c r="Q56" i="1"/>
  <c r="K56" i="1"/>
  <c r="R97" i="1"/>
  <c r="Q90" i="1"/>
  <c r="O56" i="1"/>
  <c r="Q97" i="1"/>
  <c r="Q100" i="1" s="1"/>
  <c r="P90" i="1"/>
  <c r="P97" i="1"/>
  <c r="P100" i="1" s="1"/>
  <c r="O90" i="1"/>
  <c r="M94" i="1"/>
  <c r="M100" i="1" s="1"/>
  <c r="J90" i="1"/>
  <c r="N90" i="1"/>
  <c r="P38" i="1"/>
  <c r="M90" i="1"/>
  <c r="M51" i="1"/>
  <c r="L97" i="1"/>
  <c r="L100" i="1" s="1"/>
  <c r="J97" i="1"/>
  <c r="J94" i="1"/>
  <c r="G67" i="1"/>
  <c r="H100" i="1" l="1"/>
  <c r="H63" i="1"/>
  <c r="R63" i="1"/>
  <c r="R102" i="1" s="1"/>
  <c r="R104" i="1" s="1"/>
  <c r="R123" i="1" s="1"/>
  <c r="R131" i="1" s="1"/>
  <c r="J63" i="1"/>
  <c r="P51" i="1"/>
  <c r="P63" i="1" s="1"/>
  <c r="P102" i="1" s="1"/>
  <c r="P104" i="1"/>
  <c r="P123" i="1" s="1"/>
  <c r="P131" i="1" s="1"/>
  <c r="O63" i="1"/>
  <c r="O102" i="1" s="1"/>
  <c r="O104" i="1" s="1"/>
  <c r="O123" i="1" s="1"/>
  <c r="O131" i="1" s="1"/>
  <c r="K51" i="1"/>
  <c r="K63" i="1" s="1"/>
  <c r="K102" i="1" s="1"/>
  <c r="K104" i="1" s="1"/>
  <c r="K123" i="1" s="1"/>
  <c r="K131" i="1" s="1"/>
  <c r="Q63" i="1"/>
  <c r="Q102" i="1" s="1"/>
  <c r="Q104" i="1" s="1"/>
  <c r="Q123" i="1" s="1"/>
  <c r="Q131" i="1" s="1"/>
  <c r="J100" i="1"/>
  <c r="M56" i="1"/>
  <c r="M63" i="1" s="1"/>
  <c r="M102" i="1" s="1"/>
  <c r="M104" i="1" s="1"/>
  <c r="M123" i="1" s="1"/>
  <c r="M131" i="1" s="1"/>
  <c r="L102" i="1"/>
  <c r="L104" i="1" s="1"/>
  <c r="L123" i="1" s="1"/>
  <c r="L131" i="1" s="1"/>
  <c r="J102" i="1"/>
  <c r="J104" i="1" s="1"/>
  <c r="J123" i="1" s="1"/>
  <c r="J131" i="1" s="1"/>
  <c r="G96" i="1"/>
  <c r="F66" i="1"/>
  <c r="H102" i="1" l="1"/>
  <c r="H104" i="1" s="1"/>
  <c r="H123" i="1" s="1"/>
  <c r="H131" i="1" s="1"/>
  <c r="G44" i="1"/>
  <c r="D120" i="1" l="1"/>
  <c r="F112" i="1"/>
  <c r="E96" i="1" l="1"/>
  <c r="F79" i="1" l="1"/>
  <c r="F48" i="1"/>
  <c r="F43" i="1"/>
  <c r="F25" i="1"/>
  <c r="G73" i="1" l="1"/>
  <c r="G94" i="1" l="1"/>
  <c r="G56" i="1" s="1"/>
  <c r="G97" i="1"/>
  <c r="F73" i="1"/>
  <c r="G82" i="1"/>
  <c r="G77" i="1" l="1"/>
  <c r="F119" i="1" l="1"/>
  <c r="G116" i="1"/>
  <c r="D100" i="1"/>
  <c r="F99" i="1"/>
  <c r="F98" i="1"/>
  <c r="F96" i="1"/>
  <c r="F95" i="1"/>
  <c r="G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69" i="1"/>
  <c r="F67" i="1"/>
  <c r="F68" i="1"/>
  <c r="F49" i="1"/>
  <c r="D63" i="1"/>
  <c r="F62" i="1"/>
  <c r="F61" i="1"/>
  <c r="F60" i="1"/>
  <c r="F59" i="1"/>
  <c r="F58" i="1"/>
  <c r="F57" i="1"/>
  <c r="F55" i="1"/>
  <c r="F54" i="1"/>
  <c r="F53" i="1"/>
  <c r="F52" i="1"/>
  <c r="F50" i="1"/>
  <c r="F47" i="1"/>
  <c r="F46" i="1"/>
  <c r="F45" i="1"/>
  <c r="F44" i="1"/>
  <c r="G10" i="1"/>
  <c r="G13" i="1" s="1"/>
  <c r="D10" i="1"/>
  <c r="F35" i="1"/>
  <c r="F34" i="1"/>
  <c r="F33" i="1"/>
  <c r="F32" i="1"/>
  <c r="F31" i="1"/>
  <c r="F30" i="1"/>
  <c r="F29" i="1"/>
  <c r="F28" i="1"/>
  <c r="F27" i="1"/>
  <c r="F26" i="1"/>
  <c r="F21" i="1"/>
  <c r="F20" i="1"/>
  <c r="F16" i="1"/>
  <c r="F15" i="1"/>
  <c r="F14" i="1"/>
  <c r="F9" i="1"/>
  <c r="F8" i="1"/>
  <c r="F7" i="1"/>
  <c r="F10" i="1" l="1"/>
  <c r="F97" i="1" l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F56" i="1" l="1"/>
  <c r="G100" i="1"/>
  <c r="F94" i="1"/>
  <c r="F100" i="1" s="1"/>
  <c r="F107" i="1"/>
  <c r="G70" i="1"/>
  <c r="D70" i="1"/>
  <c r="G36" i="1"/>
  <c r="D36" i="1"/>
  <c r="G22" i="1"/>
  <c r="D22" i="1"/>
  <c r="D17" i="1"/>
  <c r="G17" i="1" l="1"/>
  <c r="F13" i="1"/>
  <c r="F36" i="1"/>
  <c r="E115" i="1"/>
  <c r="E114" i="1"/>
  <c r="E113" i="1"/>
  <c r="F115" i="1"/>
  <c r="F114" i="1"/>
  <c r="F113" i="1"/>
  <c r="F111" i="1"/>
  <c r="E112" i="1"/>
  <c r="F116" i="1" l="1"/>
  <c r="F70" i="1"/>
  <c r="D90" i="1" l="1"/>
  <c r="F17" i="1" l="1"/>
  <c r="E120" i="1" l="1"/>
  <c r="D121" i="1"/>
  <c r="E111" i="1"/>
  <c r="E43" i="1"/>
  <c r="E63" i="1" s="1"/>
  <c r="E128" i="1" l="1"/>
  <c r="E127" i="1"/>
  <c r="E119" i="1"/>
  <c r="E121" i="1" s="1"/>
  <c r="E107" i="1"/>
  <c r="E108" i="1" s="1"/>
  <c r="E98" i="1"/>
  <c r="E97" i="1"/>
  <c r="E94" i="1"/>
  <c r="E93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69" i="1"/>
  <c r="E68" i="1"/>
  <c r="E67" i="1"/>
  <c r="E66" i="1"/>
  <c r="E35" i="1"/>
  <c r="E34" i="1"/>
  <c r="E33" i="1"/>
  <c r="E32" i="1"/>
  <c r="E31" i="1"/>
  <c r="E30" i="1"/>
  <c r="E29" i="1"/>
  <c r="E28" i="1"/>
  <c r="E27" i="1"/>
  <c r="E26" i="1"/>
  <c r="E25" i="1"/>
  <c r="E21" i="1"/>
  <c r="E20" i="1"/>
  <c r="E16" i="1"/>
  <c r="E15" i="1"/>
  <c r="E14" i="1"/>
  <c r="E13" i="1"/>
  <c r="E9" i="1"/>
  <c r="E8" i="1"/>
  <c r="E7" i="1"/>
  <c r="G121" i="1"/>
  <c r="G129" i="1"/>
  <c r="D129" i="1"/>
  <c r="G108" i="1"/>
  <c r="D108" i="1"/>
  <c r="G38" i="1"/>
  <c r="G51" i="1" s="1"/>
  <c r="F120" i="1"/>
  <c r="F108" i="1"/>
  <c r="D38" i="1"/>
  <c r="F128" i="1"/>
  <c r="F127" i="1"/>
  <c r="F129" i="1" l="1"/>
  <c r="G63" i="1"/>
  <c r="E100" i="1"/>
  <c r="E10" i="1"/>
  <c r="E70" i="1"/>
  <c r="E22" i="1"/>
  <c r="E17" i="1"/>
  <c r="F121" i="1"/>
  <c r="F90" i="1"/>
  <c r="E36" i="1"/>
  <c r="F22" i="1"/>
  <c r="F38" i="1" s="1"/>
  <c r="E90" i="1"/>
  <c r="E129" i="1"/>
  <c r="D102" i="1"/>
  <c r="F51" i="1" l="1"/>
  <c r="F63" i="1" s="1"/>
  <c r="E38" i="1"/>
  <c r="E102" i="1"/>
  <c r="D104" i="1"/>
  <c r="D123" i="1" s="1"/>
  <c r="G102" i="1"/>
  <c r="G104" i="1" s="1"/>
  <c r="G123" i="1" s="1"/>
  <c r="G131" i="1" s="1"/>
  <c r="D131" i="1" l="1"/>
  <c r="F102" i="1"/>
  <c r="F104" i="1" s="1"/>
  <c r="F123" i="1" s="1"/>
  <c r="F131" i="1" s="1"/>
  <c r="E104" i="1"/>
  <c r="E123" i="1" l="1"/>
  <c r="E131" i="1" s="1"/>
</calcChain>
</file>

<file path=xl/sharedStrings.xml><?xml version="1.0" encoding="utf-8"?>
<sst xmlns="http://schemas.openxmlformats.org/spreadsheetml/2006/main" count="318" uniqueCount="241">
  <si>
    <t>Budget Worksheet</t>
  </si>
  <si>
    <t>Account</t>
  </si>
  <si>
    <t> Number</t>
  </si>
  <si>
    <t> Name</t>
  </si>
  <si>
    <t> 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</si>
  <si>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</si>
  <si>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</si>
  <si>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</si>
  <si>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</si>
  <si>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</si>
  <si>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</si>
  <si>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</si>
  <si>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</si>
  <si>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</si>
  <si>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</si>
  <si>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</si>
  <si>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     </t>
  </si>
  <si>
    <t> 5120-0000</t>
  </si>
  <si>
    <t>         Rent Income - Apartments</t>
  </si>
  <si>
    <t>          TOTAL RENT INCOME</t>
  </si>
  <si>
    <t>    VACANCIES &amp; CONCESSIONS</t>
  </si>
  <si>
    <t> 5220-0000</t>
  </si>
  <si>
    <t>         Vacancies - Apartments</t>
  </si>
  <si>
    <t> 5260-0000</t>
  </si>
  <si>
    <t>         Loss to Lease</t>
  </si>
  <si>
    <t>          TOTAL VACANCIES &amp; CONCESSIONS</t>
  </si>
  <si>
    <t>    FINANCIAL INCOME</t>
  </si>
  <si>
    <t> 5410-0000</t>
  </si>
  <si>
    <t>         Interest Income</t>
  </si>
  <si>
    <t> 5440-0000</t>
  </si>
  <si>
    <t>         Interest Income - Rplcmnt Rsrv</t>
  </si>
  <si>
    <t>          TOTAL FINANCIAL INCOME</t>
  </si>
  <si>
    <t>    OTHER INCOME</t>
  </si>
  <si>
    <t> 5910-0000</t>
  </si>
  <si>
    <t>         Laundry/Vending Revenue</t>
  </si>
  <si>
    <t> 5920-0000</t>
  </si>
  <si>
    <t>         Tenant Charges</t>
  </si>
  <si>
    <t> 5920-0008</t>
  </si>
  <si>
    <t>         NSF and Late Fees</t>
  </si>
  <si>
    <t> 5920-0012</t>
  </si>
  <si>
    <t>         App Fees/Credit Check</t>
  </si>
  <si>
    <t> 5940-0000</t>
  </si>
  <si>
    <t>         Forfeited Tenant Security Deposit</t>
  </si>
  <si>
    <t>          TOTAL OTHER INCOME</t>
  </si>
  <si>
    <t>                TOTAL INCOME</t>
  </si>
  <si>
    <t>    ADMINISTRATIVE EXPENSES</t>
  </si>
  <si>
    <t> 6203-0000</t>
  </si>
  <si>
    <t>         Conventions and Meetings</t>
  </si>
  <si>
    <t> 6210-0000</t>
  </si>
  <si>
    <t>         Advertising and Marketing</t>
  </si>
  <si>
    <t> 6210-1000</t>
  </si>
  <si>
    <t>         Referral Fee - Tenant</t>
  </si>
  <si>
    <t> 6220-0000</t>
  </si>
  <si>
    <t>         Cable TV Expense</t>
  </si>
  <si>
    <t> 6311-0000</t>
  </si>
  <si>
    <t>         Office Expense</t>
  </si>
  <si>
    <t> 6320-0000</t>
  </si>
  <si>
    <t>         Management Fee</t>
  </si>
  <si>
    <t> 6330-0000</t>
  </si>
  <si>
    <t>         Managers Salary</t>
  </si>
  <si>
    <t> 6350-0000</t>
  </si>
  <si>
    <t>         Auditing Expense</t>
  </si>
  <si>
    <t> 6351-0000</t>
  </si>
  <si>
    <t>         Bookkeeping/Payroll Expense</t>
  </si>
  <si>
    <t> 6355-0000</t>
  </si>
  <si>
    <t>         Bank Fees</t>
  </si>
  <si>
    <t> 6360-0004</t>
  </si>
  <si>
    <t>         Telephone and Answ Svc.</t>
  </si>
  <si>
    <t> 6362-0000</t>
  </si>
  <si>
    <t>         Computer Maint</t>
  </si>
  <si>
    <t> 6370-0000</t>
  </si>
  <si>
    <t>         Bad Debt Expense</t>
  </si>
  <si>
    <t> 6390-0000</t>
  </si>
  <si>
    <t>         Misc. Administrative Expense</t>
  </si>
  <si>
    <t> 6390-1000</t>
  </si>
  <si>
    <t>         Background-Security Checks</t>
  </si>
  <si>
    <t>          TOTAL ADMINISTRATIVE EXPENSES</t>
  </si>
  <si>
    <t>    UTILITIES EXPENSE</t>
  </si>
  <si>
    <t> 6450-0000</t>
  </si>
  <si>
    <t>         Electricity</t>
  </si>
  <si>
    <t> 6451-0000</t>
  </si>
  <si>
    <t>         Water</t>
  </si>
  <si>
    <t> 6452-0000</t>
  </si>
  <si>
    <t>         Gas</t>
  </si>
  <si>
    <t> 6453-0000</t>
  </si>
  <si>
    <t>         Sewer</t>
  </si>
  <si>
    <t>          TOTAL UTILITIES EXPENSE</t>
  </si>
  <si>
    <t> 6515-0000</t>
  </si>
  <si>
    <t>         Supplies</t>
  </si>
  <si>
    <t> 6520-1000</t>
  </si>
  <si>
    <t>         Cleaning Contract</t>
  </si>
  <si>
    <t> 6520-2000</t>
  </si>
  <si>
    <t>         Exterminating Payroll/Contract</t>
  </si>
  <si>
    <t> 6520-3000</t>
  </si>
  <si>
    <t>         Grounds Contract</t>
  </si>
  <si>
    <t> 6520-4000</t>
  </si>
  <si>
    <t>         Repairs Contract</t>
  </si>
  <si>
    <t> 6520-5000</t>
  </si>
  <si>
    <t>         Decorating Payroll/Contract</t>
  </si>
  <si>
    <t> 6520-6000</t>
  </si>
  <si>
    <t>         Appliance/Carpet/Drps Rplcmnt</t>
  </si>
  <si>
    <t> 6525-0000</t>
  </si>
  <si>
    <t>         Garbage and Trash Removal</t>
  </si>
  <si>
    <t> 6530-0000</t>
  </si>
  <si>
    <t>         Security Payroll/Contract</t>
  </si>
  <si>
    <t> 6546-0000</t>
  </si>
  <si>
    <t>         Htg/Cooling Repairs/Maint</t>
  </si>
  <si>
    <t> 6548-0000</t>
  </si>
  <si>
    <t>         Snow Removal</t>
  </si>
  <si>
    <t> 6570-0000</t>
  </si>
  <si>
    <t>         Motor Vehicle Maint</t>
  </si>
  <si>
    <t> 6590-0000</t>
  </si>
  <si>
    <t>         Misc Oper/Maintenance Exp</t>
  </si>
  <si>
    <t>          TOTAL MAINTENANCE EXPENSE</t>
  </si>
  <si>
    <t> 6711-0000</t>
  </si>
  <si>
    <t>         Payroll Taxes (Project Share)</t>
  </si>
  <si>
    <t> 6720-0000</t>
  </si>
  <si>
    <t>         Property and Liability Ins.</t>
  </si>
  <si>
    <t> 6722-0000</t>
  </si>
  <si>
    <t>         Worker's Compensation</t>
  </si>
  <si>
    <t> 6723-0000</t>
  </si>
  <si>
    <t>         Employee Health Ins &amp; Benefits</t>
  </si>
  <si>
    <t> 6790-0000</t>
  </si>
  <si>
    <t>         Misc Taxes, Licenses &amp; Permits</t>
  </si>
  <si>
    <t>          TOTAL TAXES AND INS. EXP.</t>
  </si>
  <si>
    <t>                TOTAL OPERATING EXPENSES</t>
  </si>
  <si>
    <t>                NET OPER INCOME/LOSS</t>
  </si>
  <si>
    <t>    FINANCIAL EXPENSE</t>
  </si>
  <si>
    <t> 6820-0000</t>
  </si>
  <si>
    <t>         Interest on Mortgage Payable</t>
  </si>
  <si>
    <t>          TOTAL FINANCIAL EXPENSE</t>
  </si>
  <si>
    <t>    CAPITAL EXPENDITURES</t>
  </si>
  <si>
    <t>          TOTAL CAPITAL EXPENDITURES</t>
  </si>
  <si>
    <t>                NET INCOME/LOSS BEFORE DEPR</t>
  </si>
  <si>
    <t>         Depreciation Expense</t>
  </si>
  <si>
    <t> 8012-0000</t>
  </si>
  <si>
    <t>         Amortization Expense</t>
  </si>
  <si>
    <t>          TOTAL DEPRECIATION &amp; AMORT</t>
  </si>
  <si>
    <t>                NET INCOME/LOSS AFTER DEPREC</t>
  </si>
  <si>
    <t>    ADJUSTMENTS</t>
  </si>
  <si>
    <t> 2320-0000</t>
  </si>
  <si>
    <t>         Mortgage Payable</t>
  </si>
  <si>
    <t>Actual</t>
  </si>
  <si>
    <t>Projection</t>
  </si>
  <si>
    <t xml:space="preserve">         Pet Fee Non Refundable</t>
  </si>
  <si>
    <t>OPERATING AND MAINT EXPENSE</t>
  </si>
  <si>
    <t>TAXES AND INSURANCE</t>
  </si>
  <si>
    <t xml:space="preserve">          Dues &amp; Subscriptions</t>
  </si>
  <si>
    <t>EXPENSES</t>
  </si>
  <si>
    <t>INCOME</t>
  </si>
  <si>
    <t xml:space="preserve">    Depreciation &amp; Amortization Expense</t>
  </si>
  <si>
    <t xml:space="preserve"> 6204-0000</t>
  </si>
  <si>
    <t xml:space="preserve"> 6310-0000  </t>
  </si>
  <si>
    <t xml:space="preserve">         Office Salaries</t>
  </si>
  <si>
    <t> 6520-8000</t>
  </si>
  <si>
    <t xml:space="preserve"> 5123-0000</t>
  </si>
  <si>
    <t>         Tenant Based Subsidy Rent </t>
  </si>
  <si>
    <t xml:space="preserve"> 5250-0000</t>
  </si>
  <si>
    <t xml:space="preserve">         Rent Concessions</t>
  </si>
  <si>
    <t xml:space="preserve">         Cable Concessions</t>
  </si>
  <si>
    <t xml:space="preserve">         Cable Revenue</t>
  </si>
  <si>
    <t xml:space="preserve">         Month to Month Rent</t>
  </si>
  <si>
    <t xml:space="preserve"> 5960-0000</t>
  </si>
  <si>
    <t xml:space="preserve"> 5920-0018</t>
  </si>
  <si>
    <t xml:space="preserve"> 5920-0014</t>
  </si>
  <si>
    <t xml:space="preserve">         Employee Rent Free Unit</t>
  </si>
  <si>
    <t xml:space="preserve"> 6331-0000</t>
  </si>
  <si>
    <t xml:space="preserve"> 6340-0000</t>
  </si>
  <si>
    <t xml:space="preserve">         Legal Fees</t>
  </si>
  <si>
    <t xml:space="preserve">         Payroll</t>
  </si>
  <si>
    <t xml:space="preserve">         Temporary Laborers</t>
  </si>
  <si>
    <t xml:space="preserve">         Swimming Pool Maint</t>
  </si>
  <si>
    <t xml:space="preserve">         Real Estate Taxes</t>
  </si>
  <si>
    <t xml:space="preserve"> 6710-0000</t>
  </si>
  <si>
    <t xml:space="preserve"> 8010-0000</t>
  </si>
  <si>
    <t xml:space="preserve"> 6510-2000</t>
  </si>
  <si>
    <t xml:space="preserve"> 6510-0000</t>
  </si>
  <si>
    <t>          TOTAL ADJUSTMENTS</t>
  </si>
  <si>
    <t xml:space="preserve"> 1320-0000</t>
  </si>
  <si>
    <t xml:space="preserve">         Replacement Reserve</t>
  </si>
  <si>
    <t xml:space="preserve"> 5122-1000</t>
  </si>
  <si>
    <t xml:space="preserve">        Over Market Rent</t>
  </si>
  <si>
    <t xml:space="preserve">         Re-Leasiing Fee</t>
  </si>
  <si>
    <t> 5920-0006</t>
  </si>
  <si>
    <t>Parkview West Apartments</t>
  </si>
  <si>
    <t> 5920-0009</t>
  </si>
  <si>
    <t>         Storage Revenue</t>
  </si>
  <si>
    <t> 6520-7000</t>
  </si>
  <si>
    <t>         Elevator Maint/Contract</t>
  </si>
  <si>
    <t>1 break lease fee @ $300</t>
  </si>
  <si>
    <t xml:space="preserve">         Bad Debt Recovered</t>
  </si>
  <si>
    <t>phone and elevator lines</t>
  </si>
  <si>
    <t>Uniforms</t>
  </si>
  <si>
    <t xml:space="preserve">         Resident Activities</t>
  </si>
  <si>
    <t>CHFA &amp; AHMA</t>
  </si>
  <si>
    <t>Copier @ $54/mo plus supplies</t>
  </si>
  <si>
    <t xml:space="preserve"> 6210-0010</t>
  </si>
  <si>
    <t>Sales tax boiler inspection</t>
  </si>
  <si>
    <t xml:space="preserve">         401K Plan Expense</t>
  </si>
  <si>
    <t>grounds plus flowers</t>
  </si>
  <si>
    <t xml:space="preserve"> 5251-0000</t>
  </si>
  <si>
    <t xml:space="preserve"> 5993-0000</t>
  </si>
  <si>
    <t>1250/pp/4 &amp; $3000 extra training for staff throughout the year</t>
  </si>
  <si>
    <t xml:space="preserve">3% increase </t>
  </si>
  <si>
    <t>3% increase plus $2000 for additonal repairs &amp; inspections</t>
  </si>
  <si>
    <t xml:space="preserve">Annual Test plus replace extinguisher </t>
  </si>
  <si>
    <t>cleaning carpets at renewal</t>
  </si>
  <si>
    <t>.1365% Jan - April .0745 May- Dec</t>
  </si>
  <si>
    <t>$605/employee x 4 people split</t>
  </si>
  <si>
    <r>
      <t xml:space="preserve">2 </t>
    </r>
    <r>
      <rPr>
        <sz val="10"/>
        <color indexed="12"/>
        <rFont val="Arial"/>
        <family val="2"/>
      </rPr>
      <t>@ $150</t>
    </r>
  </si>
  <si>
    <t>2 @ $100</t>
  </si>
  <si>
    <t>Budget Year 2017</t>
  </si>
  <si>
    <t>01/16-07/16</t>
  </si>
  <si>
    <t xml:space="preserve"> 2016</t>
  </si>
  <si>
    <t>3/mo @ $26</t>
  </si>
  <si>
    <t>2 evictions @ $285; plus sheriff fees</t>
  </si>
  <si>
    <t>2 checks per month @ $26</t>
  </si>
  <si>
    <t>monthly plus bed bug spray</t>
  </si>
  <si>
    <t xml:space="preserve">    Elevator motors</t>
  </si>
  <si>
    <t xml:space="preserve">    Sump pump for garden level</t>
  </si>
  <si>
    <t>1 @ $30/month</t>
  </si>
  <si>
    <t xml:space="preserve"> $16.00/hour plus bonus @ 5%</t>
  </si>
  <si>
    <t xml:space="preserve">    Laundry room floors</t>
  </si>
  <si>
    <t xml:space="preserve"> 6713-0000</t>
  </si>
  <si>
    <t xml:space="preserve"> 7256-0000</t>
  </si>
  <si>
    <t xml:space="preserve"> 7255-0000</t>
  </si>
  <si>
    <t xml:space="preserve"> 7230-0000</t>
  </si>
  <si>
    <t xml:space="preserve"> 7210-0000</t>
  </si>
  <si>
    <t>2017 Row</t>
  </si>
  <si>
    <t>2.5%</t>
  </si>
  <si>
    <t xml:space="preserve">    Carpet replacement - 5360 bldg </t>
  </si>
  <si>
    <t xml:space="preserve">    2nd building exterior doors </t>
  </si>
  <si>
    <t>Increase for % of Audit</t>
  </si>
  <si>
    <t>Monthly</t>
  </si>
  <si>
    <t>Higher due to over market rents</t>
  </si>
  <si>
    <t xml:space="preserve">                         2017 combined with rent</t>
  </si>
  <si>
    <r>
      <t xml:space="preserve"> </t>
    </r>
    <r>
      <rPr>
        <sz val="10"/>
        <rFont val="Arial"/>
        <family val="2"/>
      </rPr>
      <t>Overall increase  (aprox. 3.75% )</t>
    </r>
  </si>
  <si>
    <t>$55,620 plus 5% bonus (split between both PVV &amp; PVW )</t>
  </si>
  <si>
    <t>$62206/super; $16.00; $12.50 Includes cleaning person</t>
  </si>
  <si>
    <t>Lowered - now on payroll</t>
  </si>
  <si>
    <t>Lowered due to 2016 foundation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</si>
</sst>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u/>
      <sz val="8"/>
      <name val="Tahoma"/>
      <family val="2"/>
    </font>
    <font>
      <i/>
      <u/>
      <sz val="10"/>
      <name val="Arial"/>
      <family val="2"/>
    </font>
    <font>
      <b/>
      <i/>
      <u/>
      <sz val="8"/>
      <name val="Tahoma"/>
      <family val="2"/>
    </font>
    <font>
      <b/>
      <i/>
      <u/>
      <sz val="10"/>
      <name val="Arial"/>
      <family val="2"/>
    </font>
    <font>
      <b/>
      <sz val="10"/>
      <name val="Tahoma"/>
      <family val="2"/>
    </font>
    <font>
      <b/>
      <sz val="12"/>
      <color indexed="63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color theme="1"/>
      <name val="Tahoma"/>
      <family val="2"/>
    </font>
    <font>
      <b/>
      <sz val="18"/>
      <color theme="3"/>
      <name val="Cambria"/>
      <family val="2"/>
      <scheme val="major"/>
    </font>
    <font>
      <i/>
      <sz val="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  <xf numFmtId="0" fontId="3" fillId="0" borderId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7" applyNumberFormat="0" applyAlignment="0" applyProtection="0"/>
    <xf numFmtId="0" fontId="30" fillId="8" borderId="8" applyNumberFormat="0" applyAlignment="0" applyProtection="0"/>
    <xf numFmtId="0" fontId="31" fillId="8" borderId="7" applyNumberFormat="0" applyAlignment="0" applyProtection="0"/>
    <xf numFmtId="0" fontId="32" fillId="0" borderId="9" applyNumberFormat="0" applyFill="0" applyAlignment="0" applyProtection="0"/>
    <xf numFmtId="0" fontId="33" fillId="9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6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/>
    </xf>
    <xf numFmtId="0" fontId="9" fillId="0" borderId="0" xfId="0" applyFont="1"/>
    <xf numFmtId="164" fontId="9" fillId="0" borderId="0" xfId="1" applyNumberFormat="1" applyFont="1"/>
    <xf numFmtId="0" fontId="11" fillId="0" borderId="0" xfId="0" applyFont="1"/>
    <xf numFmtId="0" fontId="12" fillId="0" borderId="0" xfId="0" applyFont="1" applyAlignment="1">
      <alignment horizontal="left"/>
    </xf>
    <xf numFmtId="164" fontId="12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1" applyNumberFormat="1" applyFont="1" applyBorder="1" applyAlignment="1">
      <alignment horizontal="right"/>
    </xf>
    <xf numFmtId="0" fontId="15" fillId="0" borderId="0" xfId="0" applyFont="1"/>
    <xf numFmtId="164" fontId="14" fillId="0" borderId="0" xfId="1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right"/>
    </xf>
    <xf numFmtId="164" fontId="7" fillId="0" borderId="0" xfId="1" applyNumberFormat="1" applyFont="1" applyFill="1" applyAlignment="1">
      <alignment horizontal="left"/>
    </xf>
    <xf numFmtId="0" fontId="11" fillId="0" borderId="0" xfId="0" applyFont="1" applyFill="1"/>
    <xf numFmtId="0" fontId="15" fillId="0" borderId="0" xfId="0" applyFont="1" applyFill="1"/>
    <xf numFmtId="164" fontId="7" fillId="0" borderId="0" xfId="1" applyNumberFormat="1" applyFont="1" applyFill="1" applyBorder="1" applyAlignment="1">
      <alignment horizontal="right"/>
    </xf>
    <xf numFmtId="0" fontId="19" fillId="0" borderId="0" xfId="0" applyFont="1"/>
    <xf numFmtId="0" fontId="14" fillId="0" borderId="0" xfId="0" applyFont="1" applyFill="1" applyAlignment="1">
      <alignment horizontal="left"/>
    </xf>
    <xf numFmtId="164" fontId="6" fillId="0" borderId="2" xfId="1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center"/>
    </xf>
    <xf numFmtId="164" fontId="14" fillId="0" borderId="0" xfId="1" applyNumberFormat="1" applyFont="1" applyFill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/>
    <xf numFmtId="164" fontId="9" fillId="0" borderId="0" xfId="1" applyNumberFormat="1" applyFont="1" applyFill="1"/>
    <xf numFmtId="164" fontId="14" fillId="0" borderId="0" xfId="1" applyNumberFormat="1" applyFont="1" applyFill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9" fontId="0" fillId="0" borderId="0" xfId="0" applyNumberForma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2" applyFill="1" applyAlignment="1" applyProtection="1">
      <alignment horizontal="left"/>
    </xf>
    <xf numFmtId="0" fontId="18" fillId="0" borderId="0" xfId="0" applyFont="1" applyFill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/>
    <xf numFmtId="164" fontId="8" fillId="0" borderId="0" xfId="1" applyNumberFormat="1" applyFont="1" applyFill="1"/>
    <xf numFmtId="0" fontId="9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9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0" fontId="9" fillId="0" borderId="0" xfId="0" applyFont="1" applyFill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0" fontId="0" fillId="0" borderId="0" xfId="0" applyFill="1" applyBorder="1"/>
    <xf numFmtId="9" fontId="4" fillId="0" borderId="0" xfId="3" quotePrefix="1" applyFont="1" applyFill="1"/>
    <xf numFmtId="0" fontId="4" fillId="0" borderId="0" xfId="0" applyFont="1" applyFill="1" applyBorder="1"/>
    <xf numFmtId="6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3" fontId="39" fillId="0" borderId="0" xfId="44" applyNumberFormat="1" applyFont="1" applyAlignment="1">
      <alignment horizontal="right"/>
    </xf>
    <xf numFmtId="0" fontId="0" fillId="0" borderId="0" xfId="0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11" fillId="0" borderId="0" xfId="0" applyFont="1" applyFill="1" applyBorder="1"/>
    <xf numFmtId="0" fontId="13" fillId="0" borderId="0" xfId="0" applyFont="1" applyFill="1" applyBorder="1"/>
    <xf numFmtId="0" fontId="0" fillId="0" borderId="0" xfId="0" applyBorder="1"/>
    <xf numFmtId="0" fontId="19" fillId="0" borderId="0" xfId="0" applyFont="1" applyBorder="1"/>
    <xf numFmtId="164" fontId="39" fillId="0" borderId="0" xfId="1" applyNumberFormat="1" applyFont="1" applyAlignment="1">
      <alignment horizontal="right"/>
    </xf>
    <xf numFmtId="43" fontId="20" fillId="0" borderId="0" xfId="1" applyNumberFormat="1" applyFont="1" applyFill="1"/>
    <xf numFmtId="164" fontId="6" fillId="3" borderId="0" xfId="1" quotePrefix="1" applyNumberFormat="1" applyFont="1" applyFill="1" applyAlignment="1">
      <alignment horizontal="center" vertical="center"/>
    </xf>
    <xf numFmtId="9" fontId="0" fillId="0" borderId="0" xfId="0" applyNumberFormat="1" applyFill="1" applyBorder="1" applyAlignment="1">
      <alignment horizontal="left"/>
    </xf>
    <xf numFmtId="43" fontId="39" fillId="0" borderId="0" xfId="1" applyFont="1" applyAlignment="1">
      <alignment horizontal="right"/>
    </xf>
    <xf numFmtId="164" fontId="41" fillId="0" borderId="0" xfId="1" applyNumberFormat="1" applyFont="1" applyAlignment="1">
      <alignment horizontal="left"/>
    </xf>
    <xf numFmtId="9" fontId="0" fillId="0" borderId="0" xfId="0" quotePrefix="1" applyNumberFormat="1" applyFill="1" applyAlignment="1">
      <alignment horizontal="left"/>
    </xf>
    <xf numFmtId="164" fontId="8" fillId="0" borderId="0" xfId="1" applyNumberFormat="1" applyFont="1"/>
    <xf numFmtId="164" fontId="6" fillId="2" borderId="0" xfId="1" applyNumberFormat="1" applyFont="1" applyFill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/>
    </xf>
    <xf numFmtId="0" fontId="4" fillId="35" borderId="0" xfId="0" applyFont="1" applyFill="1" applyBorder="1"/>
    <xf numFmtId="0" fontId="0" fillId="35" borderId="0" xfId="0" applyFill="1" applyAlignment="1">
      <alignment horizontal="left"/>
    </xf>
    <xf numFmtId="164" fontId="7" fillId="35" borderId="0" xfId="1" applyNumberFormat="1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164" fontId="7" fillId="35" borderId="0" xfId="1" applyNumberFormat="1" applyFont="1" applyFill="1" applyBorder="1" applyAlignment="1">
      <alignment horizontal="right"/>
    </xf>
    <xf numFmtId="0" fontId="14" fillId="35" borderId="0" xfId="0" applyFont="1" applyFill="1" applyAlignment="1">
      <alignment horizontal="left"/>
    </xf>
    <xf numFmtId="164" fontId="7" fillId="35" borderId="0" xfId="1" applyNumberFormat="1" applyFont="1" applyFill="1" applyAlignment="1">
      <alignment horizontal="left"/>
    </xf>
    <xf numFmtId="164" fontId="7" fillId="35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62">
    <cellStyle name="20% - Accent1" xfId="21" builtinId="30" customBuiltin="1"/>
    <cellStyle name="20% - Accent1 2" xfId="50"/>
    <cellStyle name="20% - Accent2" xfId="25" builtinId="34" customBuiltin="1"/>
    <cellStyle name="20% - Accent2 2" xfId="52"/>
    <cellStyle name="20% - Accent3" xfId="29" builtinId="38" customBuiltin="1"/>
    <cellStyle name="20% - Accent3 2" xfId="54"/>
    <cellStyle name="20% - Accent4" xfId="33" builtinId="42" customBuiltin="1"/>
    <cellStyle name="20% - Accent4 2" xfId="56"/>
    <cellStyle name="20% - Accent5" xfId="37" builtinId="46" customBuiltin="1"/>
    <cellStyle name="20% - Accent5 2" xfId="58"/>
    <cellStyle name="20% - Accent6" xfId="41" builtinId="50" customBuiltin="1"/>
    <cellStyle name="20% - Accent6 2" xfId="60"/>
    <cellStyle name="40% - Accent1" xfId="22" builtinId="31" customBuiltin="1"/>
    <cellStyle name="40% - Accent1 2" xfId="51"/>
    <cellStyle name="40% - Accent2" xfId="26" builtinId="35" customBuiltin="1"/>
    <cellStyle name="40% - Accent2 2" xfId="53"/>
    <cellStyle name="40% - Accent3" xfId="30" builtinId="39" customBuiltin="1"/>
    <cellStyle name="40% - Accent3 2" xfId="55"/>
    <cellStyle name="40% - Accent4" xfId="34" builtinId="43" customBuiltin="1"/>
    <cellStyle name="40% - Accent4 2" xfId="57"/>
    <cellStyle name="40% - Accent5" xfId="38" builtinId="47" customBuiltin="1"/>
    <cellStyle name="40% - Accent5 2" xfId="59"/>
    <cellStyle name="40% - Accent6" xfId="42" builtinId="51" customBuiltin="1"/>
    <cellStyle name="40% - Accent6 2" xfId="6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"/>
    <cellStyle name="Normal 3" xfId="44"/>
    <cellStyle name="Normal 4" xfId="48"/>
    <cellStyle name="Note 2" xfId="46"/>
    <cellStyle name="Note 3" xfId="49"/>
    <cellStyle name="Output" xfId="13" builtinId="21" customBuiltin="1"/>
    <cellStyle name="Percent" xfId="3" builtinId="5"/>
    <cellStyle name="Title" xfId="47" builtinId="15" customBuiltin="1"/>
    <cellStyle name="Title 2" xfId="45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370DE6-6B39-4C55-B971-B03BEFE6BADD}" protected="1">
  <header guid="{46370DE6-6B39-4C55-B971-B03BEFE6BADD}" dateTime="2017-02-03T15:02:05" maxSheetId="4" userName="Keith Roberts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6370DE6-6B39-4C55-B971-B03BEFE6BADD}" name="Keith Roberts" id="-396686175" dateTime="2017-02-03T15:02:0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5"/>
  <sheetViews>
    <sheetView tabSelected="1" zoomScaleNormal="100" workbookViewId="0">
      <selection activeCell="G65" sqref="G65"/>
    </sheetView>
  </sheetViews>
  <sheetFormatPr defaultRowHeight="12.75" x14ac:dyDescent="0.2"/>
  <cols>
    <col min="2" max="2" width="34.85546875" bestFit="1" customWidth="1"/>
    <col min="3" max="3" width="2.7109375" hidden="1" customWidth="1"/>
    <col min="4" max="4" width="15.140625" style="35" customWidth="1"/>
    <col min="5" max="5" width="12.5703125" style="35" customWidth="1"/>
    <col min="6" max="6" width="12" style="8" customWidth="1"/>
    <col min="7" max="7" width="11.28515625" style="8" customWidth="1"/>
    <col min="8" max="8" width="11.28515625" style="8" hidden="1" customWidth="1"/>
    <col min="9" max="9" width="10.7109375" style="8" hidden="1" customWidth="1"/>
    <col min="10" max="17" width="9.85546875" style="8" hidden="1" customWidth="1"/>
    <col min="18" max="18" width="11" style="8" hidden="1" customWidth="1"/>
    <col min="19" max="19" width="51" style="41" customWidth="1"/>
  </cols>
  <sheetData>
    <row r="1" spans="1:41" ht="15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41" ht="15" x14ac:dyDescent="0.2">
      <c r="A2" s="103" t="s">
        <v>184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41" ht="15" x14ac:dyDescent="0.2">
      <c r="A3" s="103" t="s">
        <v>211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41" x14ac:dyDescent="0.2">
      <c r="A4" s="1" t="s">
        <v>1</v>
      </c>
      <c r="B4" s="1" t="s">
        <v>1</v>
      </c>
      <c r="C4" s="104"/>
      <c r="D4" s="39" t="s">
        <v>142</v>
      </c>
      <c r="E4" s="83" t="s">
        <v>213</v>
      </c>
      <c r="F4" s="39" t="s">
        <v>228</v>
      </c>
      <c r="G4" s="100" t="s">
        <v>233</v>
      </c>
      <c r="H4" s="100" t="s">
        <v>5</v>
      </c>
      <c r="I4" s="100" t="s">
        <v>6</v>
      </c>
      <c r="J4" s="100" t="s">
        <v>7</v>
      </c>
      <c r="K4" s="100" t="s">
        <v>8</v>
      </c>
      <c r="L4" s="89" t="s">
        <v>9</v>
      </c>
      <c r="M4" s="89" t="s">
        <v>10</v>
      </c>
      <c r="N4" s="100" t="s">
        <v>11</v>
      </c>
      <c r="O4" s="100" t="s">
        <v>12</v>
      </c>
      <c r="P4" s="100" t="s">
        <v>13</v>
      </c>
      <c r="Q4" s="100" t="s">
        <v>14</v>
      </c>
      <c r="R4" s="100" t="s">
        <v>15</v>
      </c>
    </row>
    <row r="5" spans="1:41" ht="13.5" thickBot="1" x14ac:dyDescent="0.25">
      <c r="A5" s="2" t="s">
        <v>2</v>
      </c>
      <c r="B5" s="2" t="s">
        <v>3</v>
      </c>
      <c r="C5" s="105"/>
      <c r="D5" s="40" t="s">
        <v>212</v>
      </c>
      <c r="E5" s="40" t="s">
        <v>143</v>
      </c>
      <c r="F5" s="40" t="s">
        <v>4</v>
      </c>
      <c r="G5" s="101"/>
      <c r="H5" s="101"/>
      <c r="I5" s="101"/>
      <c r="J5" s="101"/>
      <c r="K5" s="101"/>
      <c r="L5" s="90"/>
      <c r="M5" s="90"/>
      <c r="N5" s="101"/>
      <c r="O5" s="101"/>
      <c r="P5" s="101"/>
      <c r="Q5" s="101"/>
      <c r="R5" s="101"/>
    </row>
    <row r="6" spans="1:41" x14ac:dyDescent="0.2">
      <c r="A6" s="3" t="s">
        <v>149</v>
      </c>
      <c r="C6" s="3" t="s">
        <v>16</v>
      </c>
      <c r="D6" s="23"/>
      <c r="E6" s="2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41" s="20" customFormat="1" x14ac:dyDescent="0.2">
      <c r="A7" s="21" t="s">
        <v>17</v>
      </c>
      <c r="B7" s="21" t="s">
        <v>18</v>
      </c>
      <c r="C7" s="21" t="s">
        <v>16</v>
      </c>
      <c r="D7" s="22">
        <v>178106.9</v>
      </c>
      <c r="E7" s="22">
        <f>D7/7*12</f>
        <v>305326.11428571428</v>
      </c>
      <c r="F7" s="22">
        <f>SUM(G7:R7)</f>
        <v>470449</v>
      </c>
      <c r="G7" s="22">
        <v>39382</v>
      </c>
      <c r="H7" s="22">
        <v>39099</v>
      </c>
      <c r="I7" s="22">
        <v>38916</v>
      </c>
      <c r="J7" s="22">
        <v>39013</v>
      </c>
      <c r="K7" s="22">
        <v>39132</v>
      </c>
      <c r="L7" s="22">
        <v>39234</v>
      </c>
      <c r="M7" s="22">
        <v>39252</v>
      </c>
      <c r="N7" s="22">
        <v>39048</v>
      </c>
      <c r="O7" s="22">
        <v>39142</v>
      </c>
      <c r="P7" s="22">
        <v>39244</v>
      </c>
      <c r="Q7" s="22">
        <v>39420</v>
      </c>
      <c r="R7" s="22">
        <v>39567</v>
      </c>
      <c r="S7" s="42"/>
    </row>
    <row r="8" spans="1:41" s="20" customFormat="1" x14ac:dyDescent="0.2">
      <c r="A8" s="21" t="s">
        <v>180</v>
      </c>
      <c r="B8" s="21" t="s">
        <v>181</v>
      </c>
      <c r="C8" s="21"/>
      <c r="D8" s="22">
        <v>9150</v>
      </c>
      <c r="E8" s="22">
        <f t="shared" ref="E8:E9" si="0">D8/7*12</f>
        <v>15685.714285714286</v>
      </c>
      <c r="F8" s="22">
        <f>SUM(G8:R8)</f>
        <v>27505</v>
      </c>
      <c r="G8" s="22">
        <v>2095</v>
      </c>
      <c r="H8" s="22">
        <v>2316</v>
      </c>
      <c r="I8" s="22">
        <v>2483</v>
      </c>
      <c r="J8" s="22">
        <v>2421</v>
      </c>
      <c r="K8" s="22">
        <v>2331</v>
      </c>
      <c r="L8" s="22">
        <v>2361</v>
      </c>
      <c r="M8" s="22">
        <v>2083</v>
      </c>
      <c r="N8" s="22">
        <v>2234</v>
      </c>
      <c r="O8" s="22">
        <v>2234</v>
      </c>
      <c r="P8" s="22">
        <v>2361</v>
      </c>
      <c r="Q8" s="22">
        <v>2281</v>
      </c>
      <c r="R8" s="22">
        <v>2305</v>
      </c>
      <c r="S8" s="42" t="s">
        <v>234</v>
      </c>
    </row>
    <row r="9" spans="1:41" s="20" customFormat="1" ht="13.5" thickBot="1" x14ac:dyDescent="0.25">
      <c r="A9" s="21" t="s">
        <v>155</v>
      </c>
      <c r="B9" s="21" t="s">
        <v>156</v>
      </c>
      <c r="C9" s="21"/>
      <c r="D9" s="22">
        <v>92598.1</v>
      </c>
      <c r="E9" s="22">
        <f t="shared" si="0"/>
        <v>158739.6</v>
      </c>
      <c r="F9" s="22">
        <f>SUM(G9:R9)</f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42" t="s">
        <v>235</v>
      </c>
    </row>
    <row r="10" spans="1:41" s="24" customFormat="1" x14ac:dyDescent="0.2">
      <c r="A10" s="54"/>
      <c r="B10" s="54" t="s">
        <v>19</v>
      </c>
      <c r="C10" s="54" t="s">
        <v>16</v>
      </c>
      <c r="D10" s="29">
        <f>SUM(D7:D9)</f>
        <v>279855</v>
      </c>
      <c r="E10" s="29">
        <f t="shared" ref="E10:R10" si="1">SUM(E7:E9)</f>
        <v>479751.42857142852</v>
      </c>
      <c r="F10" s="29">
        <f t="shared" si="1"/>
        <v>497954</v>
      </c>
      <c r="G10" s="29">
        <f t="shared" si="1"/>
        <v>41477</v>
      </c>
      <c r="H10" s="29">
        <f t="shared" si="1"/>
        <v>41415</v>
      </c>
      <c r="I10" s="29">
        <f t="shared" si="1"/>
        <v>41399</v>
      </c>
      <c r="J10" s="29">
        <f t="shared" si="1"/>
        <v>41434</v>
      </c>
      <c r="K10" s="29">
        <f t="shared" si="1"/>
        <v>41463</v>
      </c>
      <c r="L10" s="29">
        <f t="shared" si="1"/>
        <v>41595</v>
      </c>
      <c r="M10" s="29">
        <f t="shared" si="1"/>
        <v>41335</v>
      </c>
      <c r="N10" s="29">
        <f t="shared" si="1"/>
        <v>41282</v>
      </c>
      <c r="O10" s="29">
        <f t="shared" si="1"/>
        <v>41376</v>
      </c>
      <c r="P10" s="29">
        <f t="shared" si="1"/>
        <v>41605</v>
      </c>
      <c r="Q10" s="29">
        <f t="shared" si="1"/>
        <v>41701</v>
      </c>
      <c r="R10" s="29">
        <f t="shared" si="1"/>
        <v>41872</v>
      </c>
      <c r="S10" s="91" t="s">
        <v>236</v>
      </c>
    </row>
    <row r="11" spans="1:41" s="20" customFormat="1" x14ac:dyDescent="0.2">
      <c r="A11" s="55"/>
      <c r="B11" s="55"/>
      <c r="C11" s="55"/>
      <c r="D11" s="30"/>
      <c r="E11" s="2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42"/>
    </row>
    <row r="12" spans="1:41" s="25" customFormat="1" x14ac:dyDescent="0.2">
      <c r="A12" s="28"/>
      <c r="B12" s="28" t="s">
        <v>20</v>
      </c>
      <c r="C12" s="28"/>
      <c r="D12" s="31"/>
      <c r="E12" s="2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56"/>
    </row>
    <row r="13" spans="1:41" s="20" customFormat="1" x14ac:dyDescent="0.2">
      <c r="A13" s="21" t="s">
        <v>21</v>
      </c>
      <c r="B13" s="21" t="s">
        <v>22</v>
      </c>
      <c r="C13" s="21" t="s">
        <v>16</v>
      </c>
      <c r="D13" s="22">
        <v>-8965.76</v>
      </c>
      <c r="E13" s="22">
        <f>D13/7*12</f>
        <v>-15369.874285714286</v>
      </c>
      <c r="F13" s="22">
        <f>SUM(G13:R13)</f>
        <v>-12448.849999999999</v>
      </c>
      <c r="G13" s="22">
        <f>G10*-0.025</f>
        <v>-1036.925</v>
      </c>
      <c r="H13" s="22">
        <f t="shared" ref="H13:R13" si="2">H10*-0.025</f>
        <v>-1035.375</v>
      </c>
      <c r="I13" s="22">
        <f t="shared" si="2"/>
        <v>-1034.9750000000001</v>
      </c>
      <c r="J13" s="22">
        <f t="shared" si="2"/>
        <v>-1035.8500000000001</v>
      </c>
      <c r="K13" s="22">
        <f t="shared" si="2"/>
        <v>-1036.575</v>
      </c>
      <c r="L13" s="22">
        <f t="shared" si="2"/>
        <v>-1039.875</v>
      </c>
      <c r="M13" s="22">
        <f t="shared" si="2"/>
        <v>-1033.375</v>
      </c>
      <c r="N13" s="22">
        <f t="shared" si="2"/>
        <v>-1032.05</v>
      </c>
      <c r="O13" s="22">
        <f t="shared" si="2"/>
        <v>-1034.4000000000001</v>
      </c>
      <c r="P13" s="22">
        <f t="shared" si="2"/>
        <v>-1040.125</v>
      </c>
      <c r="Q13" s="22">
        <f t="shared" si="2"/>
        <v>-1042.5250000000001</v>
      </c>
      <c r="R13" s="22">
        <f t="shared" si="2"/>
        <v>-1046.8</v>
      </c>
      <c r="S13" s="87" t="s">
        <v>229</v>
      </c>
    </row>
    <row r="14" spans="1:41" s="20" customFormat="1" x14ac:dyDescent="0.2">
      <c r="A14" s="21" t="s">
        <v>157</v>
      </c>
      <c r="B14" s="21" t="s">
        <v>158</v>
      </c>
      <c r="C14" s="21"/>
      <c r="D14" s="22">
        <v>-422.5</v>
      </c>
      <c r="E14" s="22">
        <f t="shared" ref="E14:E16" si="3">D14/7*12</f>
        <v>-724.28571428571422</v>
      </c>
      <c r="F14" s="22">
        <f>SUM(G14:R14)</f>
        <v>-300</v>
      </c>
      <c r="G14" s="22">
        <v>-25</v>
      </c>
      <c r="H14" s="22">
        <v>-25</v>
      </c>
      <c r="I14" s="22">
        <v>-25</v>
      </c>
      <c r="J14" s="22">
        <v>-25</v>
      </c>
      <c r="K14" s="22">
        <v>-25</v>
      </c>
      <c r="L14" s="22">
        <v>-25</v>
      </c>
      <c r="M14" s="22">
        <v>-25</v>
      </c>
      <c r="N14" s="22">
        <v>-25</v>
      </c>
      <c r="O14" s="22">
        <v>-25</v>
      </c>
      <c r="P14" s="22">
        <v>-25</v>
      </c>
      <c r="Q14" s="22">
        <v>-25</v>
      </c>
      <c r="R14" s="22">
        <v>-25</v>
      </c>
      <c r="S14" s="42"/>
    </row>
    <row r="15" spans="1:41" s="24" customFormat="1" x14ac:dyDescent="0.2">
      <c r="A15" s="21" t="s">
        <v>200</v>
      </c>
      <c r="B15" s="21" t="s">
        <v>159</v>
      </c>
      <c r="C15" s="21"/>
      <c r="D15" s="22">
        <v>0</v>
      </c>
      <c r="E15" s="22">
        <f t="shared" si="3"/>
        <v>0</v>
      </c>
      <c r="F15" s="22">
        <f>SUM(G15:R15)</f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42"/>
      <c r="T15" s="20"/>
      <c r="U15" s="20"/>
      <c r="V15" s="20"/>
      <c r="W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20" customFormat="1" ht="13.5" thickBot="1" x14ac:dyDescent="0.25">
      <c r="A16" s="21" t="s">
        <v>23</v>
      </c>
      <c r="B16" s="21" t="s">
        <v>24</v>
      </c>
      <c r="C16" s="21" t="s">
        <v>16</v>
      </c>
      <c r="D16" s="22">
        <v>0</v>
      </c>
      <c r="E16" s="22">
        <f t="shared" si="3"/>
        <v>0</v>
      </c>
      <c r="F16" s="22">
        <f>SUM(G16:R16)</f>
        <v>-45</v>
      </c>
      <c r="G16" s="26">
        <v>-12</v>
      </c>
      <c r="H16" s="22">
        <v>-9</v>
      </c>
      <c r="I16" s="22">
        <v>-6</v>
      </c>
      <c r="J16" s="22">
        <v>-6</v>
      </c>
      <c r="K16" s="22">
        <v>-6</v>
      </c>
      <c r="L16" s="22">
        <v>-4</v>
      </c>
      <c r="M16" s="22">
        <v>-2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46"/>
      <c r="T16" s="24"/>
      <c r="U16" s="24"/>
      <c r="V16" s="24"/>
      <c r="W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5" s="25" customFormat="1" x14ac:dyDescent="0.2">
      <c r="A17" s="54"/>
      <c r="B17" s="54" t="s">
        <v>25</v>
      </c>
      <c r="C17" s="54" t="s">
        <v>16</v>
      </c>
      <c r="D17" s="29">
        <f>SUM(D13:D16)</f>
        <v>-9388.26</v>
      </c>
      <c r="E17" s="29">
        <f t="shared" ref="E17:R17" si="4">SUM(E13:E16)</f>
        <v>-16094.16</v>
      </c>
      <c r="F17" s="29">
        <f t="shared" si="4"/>
        <v>-12793.849999999999</v>
      </c>
      <c r="G17" s="29">
        <f t="shared" si="4"/>
        <v>-1073.925</v>
      </c>
      <c r="H17" s="29">
        <f t="shared" si="4"/>
        <v>-1069.375</v>
      </c>
      <c r="I17" s="29">
        <f t="shared" si="4"/>
        <v>-1065.9750000000001</v>
      </c>
      <c r="J17" s="29">
        <f t="shared" si="4"/>
        <v>-1066.8500000000001</v>
      </c>
      <c r="K17" s="29">
        <f t="shared" si="4"/>
        <v>-1067.575</v>
      </c>
      <c r="L17" s="29">
        <f t="shared" si="4"/>
        <v>-1068.875</v>
      </c>
      <c r="M17" s="29">
        <f t="shared" si="4"/>
        <v>-1060.375</v>
      </c>
      <c r="N17" s="29">
        <f t="shared" si="4"/>
        <v>-1057.05</v>
      </c>
      <c r="O17" s="29">
        <f t="shared" si="4"/>
        <v>-1059.4000000000001</v>
      </c>
      <c r="P17" s="29">
        <f t="shared" si="4"/>
        <v>-1065.125</v>
      </c>
      <c r="Q17" s="29">
        <f t="shared" si="4"/>
        <v>-1067.5250000000001</v>
      </c>
      <c r="R17" s="29">
        <f t="shared" si="4"/>
        <v>-1071.8</v>
      </c>
      <c r="S17" s="42"/>
      <c r="T17" s="20"/>
      <c r="U17" s="20"/>
      <c r="V17" s="20"/>
      <c r="W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5" s="20" customFormat="1" x14ac:dyDescent="0.2">
      <c r="A18" s="55"/>
      <c r="B18" s="55"/>
      <c r="C18" s="55"/>
      <c r="D18" s="30"/>
      <c r="E18" s="2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6"/>
      <c r="T18" s="25"/>
      <c r="U18" s="25"/>
      <c r="V18" s="25"/>
      <c r="W18" s="25"/>
    </row>
    <row r="19" spans="1:45" s="20" customFormat="1" x14ac:dyDescent="0.2">
      <c r="A19" s="28"/>
      <c r="B19" s="28" t="s">
        <v>26</v>
      </c>
      <c r="C19" s="28"/>
      <c r="D19" s="31"/>
      <c r="E19" s="3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5" s="24" customFormat="1" x14ac:dyDescent="0.2">
      <c r="A20" s="21" t="s">
        <v>27</v>
      </c>
      <c r="B20" s="21" t="s">
        <v>28</v>
      </c>
      <c r="C20" s="21" t="s">
        <v>16</v>
      </c>
      <c r="D20" s="22">
        <v>9.6199999999999992</v>
      </c>
      <c r="E20" s="22">
        <f>D20/7*12</f>
        <v>16.491428571428571</v>
      </c>
      <c r="F20" s="22">
        <f>SUM(G20:R20)</f>
        <v>12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42"/>
      <c r="T20" s="20"/>
      <c r="U20" s="20"/>
      <c r="V20" s="20"/>
      <c r="W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5" s="20" customFormat="1" ht="13.5" thickBot="1" x14ac:dyDescent="0.25">
      <c r="A21" s="21" t="s">
        <v>29</v>
      </c>
      <c r="B21" s="21" t="s">
        <v>30</v>
      </c>
      <c r="C21" s="21" t="s">
        <v>16</v>
      </c>
      <c r="D21" s="22">
        <v>24.93</v>
      </c>
      <c r="E21" s="22">
        <f t="shared" ref="E21" si="5">D21/7*12</f>
        <v>42.737142857142857</v>
      </c>
      <c r="F21" s="22">
        <f>SUM(G21:R21)</f>
        <v>36</v>
      </c>
      <c r="G21" s="22">
        <v>3</v>
      </c>
      <c r="H21" s="22">
        <v>3</v>
      </c>
      <c r="I21" s="22">
        <v>3</v>
      </c>
      <c r="J21" s="22">
        <v>3</v>
      </c>
      <c r="K21" s="22">
        <v>3</v>
      </c>
      <c r="L21" s="22">
        <v>3</v>
      </c>
      <c r="M21" s="22">
        <v>3</v>
      </c>
      <c r="N21" s="22">
        <v>3</v>
      </c>
      <c r="O21" s="22">
        <v>3</v>
      </c>
      <c r="P21" s="22">
        <v>3</v>
      </c>
      <c r="Q21" s="22">
        <v>3</v>
      </c>
      <c r="R21" s="22">
        <v>3</v>
      </c>
      <c r="S21" s="46"/>
      <c r="T21" s="24"/>
      <c r="U21" s="24"/>
      <c r="V21" s="24"/>
      <c r="W21" s="24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5" s="17" customFormat="1" x14ac:dyDescent="0.2">
      <c r="A22" s="3"/>
      <c r="B22" s="3" t="s">
        <v>31</v>
      </c>
      <c r="C22" s="3" t="s">
        <v>16</v>
      </c>
      <c r="D22" s="29">
        <f>SUM(D20:D21)</f>
        <v>34.549999999999997</v>
      </c>
      <c r="E22" s="29">
        <f t="shared" ref="E22:R22" si="6">SUM(E20:E21)</f>
        <v>59.228571428571428</v>
      </c>
      <c r="F22" s="29">
        <f t="shared" si="6"/>
        <v>48</v>
      </c>
      <c r="G22" s="29">
        <f t="shared" si="6"/>
        <v>4</v>
      </c>
      <c r="H22" s="29">
        <f t="shared" si="6"/>
        <v>4</v>
      </c>
      <c r="I22" s="29">
        <f t="shared" si="6"/>
        <v>4</v>
      </c>
      <c r="J22" s="29">
        <f t="shared" si="6"/>
        <v>4</v>
      </c>
      <c r="K22" s="29">
        <f t="shared" si="6"/>
        <v>4</v>
      </c>
      <c r="L22" s="29">
        <f t="shared" si="6"/>
        <v>4</v>
      </c>
      <c r="M22" s="29">
        <f t="shared" si="6"/>
        <v>4</v>
      </c>
      <c r="N22" s="29">
        <f t="shared" si="6"/>
        <v>4</v>
      </c>
      <c r="O22" s="29">
        <f t="shared" si="6"/>
        <v>4</v>
      </c>
      <c r="P22" s="29">
        <f t="shared" si="6"/>
        <v>4</v>
      </c>
      <c r="Q22" s="29">
        <f t="shared" si="6"/>
        <v>4</v>
      </c>
      <c r="R22" s="29">
        <f t="shared" si="6"/>
        <v>4</v>
      </c>
      <c r="S22" s="41"/>
      <c r="T22"/>
      <c r="U22"/>
      <c r="V22"/>
      <c r="W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5" x14ac:dyDescent="0.2">
      <c r="A23" s="5"/>
      <c r="B23" s="5"/>
      <c r="C23" s="5"/>
      <c r="D23" s="30"/>
      <c r="E23" s="2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4"/>
      <c r="T23" s="17"/>
      <c r="U23" s="17"/>
      <c r="V23" s="17"/>
      <c r="W23" s="17"/>
    </row>
    <row r="24" spans="1:45" x14ac:dyDescent="0.2">
      <c r="A24" s="15"/>
      <c r="B24" s="15" t="s">
        <v>32</v>
      </c>
      <c r="C24" s="15"/>
      <c r="D24" s="31"/>
      <c r="E24" s="3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45" s="20" customFormat="1" x14ac:dyDescent="0.2">
      <c r="A25" s="21" t="s">
        <v>33</v>
      </c>
      <c r="B25" s="21" t="s">
        <v>34</v>
      </c>
      <c r="C25" s="21" t="s">
        <v>16</v>
      </c>
      <c r="D25" s="22">
        <v>2558.9299999999998</v>
      </c>
      <c r="E25" s="22">
        <f>D25/7*12</f>
        <v>4386.7371428571423</v>
      </c>
      <c r="F25" s="22">
        <f t="shared" ref="F25:F35" si="7">SUM(G25:R25)</f>
        <v>4400.04</v>
      </c>
      <c r="G25" s="22">
        <v>366.67</v>
      </c>
      <c r="H25" s="22">
        <v>366.67</v>
      </c>
      <c r="I25" s="22">
        <v>366.67</v>
      </c>
      <c r="J25" s="22">
        <v>366.67</v>
      </c>
      <c r="K25" s="22">
        <v>366.67</v>
      </c>
      <c r="L25" s="22">
        <v>366.67</v>
      </c>
      <c r="M25" s="22">
        <v>366.67</v>
      </c>
      <c r="N25" s="22">
        <v>366.67</v>
      </c>
      <c r="O25" s="22">
        <v>366.67</v>
      </c>
      <c r="P25" s="22">
        <v>366.67</v>
      </c>
      <c r="Q25" s="22">
        <v>366.67</v>
      </c>
      <c r="R25" s="22">
        <v>366.67</v>
      </c>
      <c r="S25" s="42"/>
    </row>
    <row r="26" spans="1:45" s="20" customFormat="1" x14ac:dyDescent="0.2">
      <c r="A26" s="21" t="s">
        <v>35</v>
      </c>
      <c r="B26" s="21" t="s">
        <v>36</v>
      </c>
      <c r="C26" s="21" t="s">
        <v>16</v>
      </c>
      <c r="D26" s="22">
        <v>847.19</v>
      </c>
      <c r="E26" s="22">
        <f t="shared" ref="E26:E35" si="8">D26/7*12</f>
        <v>1452.3257142857144</v>
      </c>
      <c r="F26" s="22">
        <f t="shared" si="7"/>
        <v>1466.5200000000002</v>
      </c>
      <c r="G26" s="22">
        <v>122.21</v>
      </c>
      <c r="H26" s="22">
        <v>122.21</v>
      </c>
      <c r="I26" s="22">
        <v>122.21</v>
      </c>
      <c r="J26" s="22">
        <v>122.21</v>
      </c>
      <c r="K26" s="22">
        <v>122.21</v>
      </c>
      <c r="L26" s="22">
        <v>122.21</v>
      </c>
      <c r="M26" s="22">
        <v>122.21</v>
      </c>
      <c r="N26" s="22">
        <v>122.21</v>
      </c>
      <c r="O26" s="22">
        <v>122.21</v>
      </c>
      <c r="P26" s="22">
        <v>122.21</v>
      </c>
      <c r="Q26" s="22">
        <v>122.21</v>
      </c>
      <c r="R26" s="22">
        <v>122.21</v>
      </c>
      <c r="S26" s="65"/>
    </row>
    <row r="27" spans="1:45" s="20" customFormat="1" x14ac:dyDescent="0.2">
      <c r="A27" s="21" t="s">
        <v>183</v>
      </c>
      <c r="B27" s="21" t="s">
        <v>182</v>
      </c>
      <c r="C27" s="21"/>
      <c r="D27" s="22">
        <v>70</v>
      </c>
      <c r="E27" s="22">
        <f t="shared" si="8"/>
        <v>120</v>
      </c>
      <c r="F27" s="22">
        <f t="shared" si="7"/>
        <v>300</v>
      </c>
      <c r="G27" s="22">
        <v>25</v>
      </c>
      <c r="H27" s="22">
        <v>25</v>
      </c>
      <c r="I27" s="22">
        <v>25</v>
      </c>
      <c r="J27" s="22">
        <v>25</v>
      </c>
      <c r="K27" s="22">
        <v>25</v>
      </c>
      <c r="L27" s="22">
        <v>25</v>
      </c>
      <c r="M27" s="22">
        <v>25</v>
      </c>
      <c r="N27" s="22">
        <v>25</v>
      </c>
      <c r="O27" s="22">
        <v>25</v>
      </c>
      <c r="P27" s="22">
        <v>25</v>
      </c>
      <c r="Q27" s="22">
        <v>25</v>
      </c>
      <c r="R27" s="22">
        <v>25</v>
      </c>
      <c r="S27" s="42" t="s">
        <v>189</v>
      </c>
    </row>
    <row r="28" spans="1:45" s="20" customFormat="1" x14ac:dyDescent="0.2">
      <c r="A28" s="21" t="s">
        <v>37</v>
      </c>
      <c r="B28" s="21" t="s">
        <v>38</v>
      </c>
      <c r="C28" s="21" t="s">
        <v>16</v>
      </c>
      <c r="D28" s="22">
        <v>975</v>
      </c>
      <c r="E28" s="22">
        <f t="shared" si="8"/>
        <v>1671.4285714285713</v>
      </c>
      <c r="F28" s="22">
        <f t="shared" si="7"/>
        <v>1721.1600000000005</v>
      </c>
      <c r="G28" s="22">
        <v>143.43</v>
      </c>
      <c r="H28" s="22">
        <v>143.43</v>
      </c>
      <c r="I28" s="22">
        <v>143.43</v>
      </c>
      <c r="J28" s="22">
        <v>143.43</v>
      </c>
      <c r="K28" s="22">
        <v>143.43</v>
      </c>
      <c r="L28" s="22">
        <v>143.43</v>
      </c>
      <c r="M28" s="22">
        <v>143.43</v>
      </c>
      <c r="N28" s="22">
        <v>143.43</v>
      </c>
      <c r="O28" s="22">
        <v>143.43</v>
      </c>
      <c r="P28" s="22">
        <v>143.43</v>
      </c>
      <c r="Q28" s="22">
        <v>143.43</v>
      </c>
      <c r="R28" s="22">
        <v>143.43</v>
      </c>
      <c r="S28" s="42"/>
    </row>
    <row r="29" spans="1:45" s="20" customFormat="1" x14ac:dyDescent="0.2">
      <c r="A29" s="21" t="s">
        <v>185</v>
      </c>
      <c r="B29" s="21" t="s">
        <v>186</v>
      </c>
      <c r="C29" s="21" t="s">
        <v>16</v>
      </c>
      <c r="D29" s="22">
        <v>180.32</v>
      </c>
      <c r="E29" s="22">
        <f t="shared" si="8"/>
        <v>309.12</v>
      </c>
      <c r="F29" s="22">
        <f t="shared" si="7"/>
        <v>360</v>
      </c>
      <c r="G29" s="22">
        <v>30</v>
      </c>
      <c r="H29" s="22">
        <v>30</v>
      </c>
      <c r="I29" s="22">
        <v>30</v>
      </c>
      <c r="J29" s="22">
        <v>30</v>
      </c>
      <c r="K29" s="22">
        <v>30</v>
      </c>
      <c r="L29" s="22">
        <v>30</v>
      </c>
      <c r="M29" s="22">
        <v>30</v>
      </c>
      <c r="N29" s="22">
        <v>30</v>
      </c>
      <c r="O29" s="22">
        <v>30</v>
      </c>
      <c r="P29" s="22">
        <v>30</v>
      </c>
      <c r="Q29" s="22">
        <v>30</v>
      </c>
      <c r="R29" s="22">
        <v>30</v>
      </c>
      <c r="S29" s="42" t="s">
        <v>220</v>
      </c>
    </row>
    <row r="30" spans="1:45" s="20" customFormat="1" x14ac:dyDescent="0.2">
      <c r="A30" s="21" t="s">
        <v>39</v>
      </c>
      <c r="B30" s="21" t="s">
        <v>40</v>
      </c>
      <c r="C30" s="21" t="s">
        <v>16</v>
      </c>
      <c r="D30" s="22">
        <v>630</v>
      </c>
      <c r="E30" s="22">
        <f t="shared" si="8"/>
        <v>1080</v>
      </c>
      <c r="F30" s="22">
        <f t="shared" si="7"/>
        <v>936</v>
      </c>
      <c r="G30" s="22">
        <v>78</v>
      </c>
      <c r="H30" s="22">
        <v>78</v>
      </c>
      <c r="I30" s="22">
        <v>78</v>
      </c>
      <c r="J30" s="22">
        <v>78</v>
      </c>
      <c r="K30" s="22">
        <v>78</v>
      </c>
      <c r="L30" s="22">
        <v>78</v>
      </c>
      <c r="M30" s="22">
        <v>78</v>
      </c>
      <c r="N30" s="22">
        <v>78</v>
      </c>
      <c r="O30" s="22">
        <v>78</v>
      </c>
      <c r="P30" s="22">
        <v>78</v>
      </c>
      <c r="Q30" s="22">
        <v>78</v>
      </c>
      <c r="R30" s="22">
        <v>78</v>
      </c>
      <c r="S30" s="20" t="s">
        <v>214</v>
      </c>
    </row>
    <row r="31" spans="1:45" s="20" customFormat="1" x14ac:dyDescent="0.2">
      <c r="A31" s="21" t="s">
        <v>164</v>
      </c>
      <c r="B31" s="21" t="s">
        <v>160</v>
      </c>
      <c r="C31" s="21"/>
      <c r="D31" s="22">
        <v>9022.99</v>
      </c>
      <c r="E31" s="22">
        <f t="shared" si="8"/>
        <v>15467.982857142859</v>
      </c>
      <c r="F31" s="22">
        <f t="shared" si="7"/>
        <v>15777.360000000002</v>
      </c>
      <c r="G31" s="22">
        <v>1314.78</v>
      </c>
      <c r="H31" s="22">
        <v>1314.78</v>
      </c>
      <c r="I31" s="22">
        <v>1314.78</v>
      </c>
      <c r="J31" s="22">
        <v>1314.78</v>
      </c>
      <c r="K31" s="22">
        <v>1314.78</v>
      </c>
      <c r="L31" s="22">
        <v>1314.78</v>
      </c>
      <c r="M31" s="22">
        <v>1314.78</v>
      </c>
      <c r="N31" s="22">
        <v>1314.78</v>
      </c>
      <c r="O31" s="22">
        <v>1314.78</v>
      </c>
      <c r="P31" s="22">
        <v>1314.78</v>
      </c>
      <c r="Q31" s="22">
        <v>1314.78</v>
      </c>
      <c r="R31" s="22">
        <v>1314.78</v>
      </c>
    </row>
    <row r="32" spans="1:45" s="24" customFormat="1" x14ac:dyDescent="0.2">
      <c r="A32" s="21" t="s">
        <v>163</v>
      </c>
      <c r="B32" s="21" t="s">
        <v>161</v>
      </c>
      <c r="C32" s="21"/>
      <c r="D32" s="22">
        <v>0</v>
      </c>
      <c r="E32" s="22">
        <f t="shared" si="8"/>
        <v>0</v>
      </c>
      <c r="F32" s="22">
        <f t="shared" si="7"/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4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24" customFormat="1" x14ac:dyDescent="0.2">
      <c r="A33" s="21" t="s">
        <v>41</v>
      </c>
      <c r="B33" s="21" t="s">
        <v>42</v>
      </c>
      <c r="C33" s="21" t="s">
        <v>16</v>
      </c>
      <c r="D33" s="22">
        <v>0</v>
      </c>
      <c r="E33" s="22">
        <f t="shared" si="8"/>
        <v>0</v>
      </c>
      <c r="F33" s="22">
        <f t="shared" si="7"/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42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20" customFormat="1" x14ac:dyDescent="0.2">
      <c r="A34" s="21" t="s">
        <v>162</v>
      </c>
      <c r="B34" s="21" t="s">
        <v>144</v>
      </c>
      <c r="C34" s="21"/>
      <c r="D34" s="22">
        <v>400</v>
      </c>
      <c r="E34" s="22">
        <f t="shared" si="8"/>
        <v>685.71428571428578</v>
      </c>
      <c r="F34" s="22">
        <f t="shared" si="7"/>
        <v>300</v>
      </c>
      <c r="G34" s="22">
        <v>25</v>
      </c>
      <c r="H34" s="22">
        <v>25</v>
      </c>
      <c r="I34" s="22">
        <v>25</v>
      </c>
      <c r="J34" s="22">
        <v>25</v>
      </c>
      <c r="K34" s="22">
        <v>25</v>
      </c>
      <c r="L34" s="22">
        <v>25</v>
      </c>
      <c r="M34" s="22">
        <v>25</v>
      </c>
      <c r="N34" s="22">
        <v>25</v>
      </c>
      <c r="O34" s="22">
        <v>25</v>
      </c>
      <c r="P34" s="22">
        <v>25</v>
      </c>
      <c r="Q34" s="22">
        <v>25</v>
      </c>
      <c r="R34" s="22">
        <v>25</v>
      </c>
      <c r="S34" s="47" t="s">
        <v>209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Q34" s="24"/>
      <c r="AR34" s="24"/>
      <c r="AS34" s="24"/>
    </row>
    <row r="35" spans="1:45" s="20" customFormat="1" ht="13.5" thickBot="1" x14ac:dyDescent="0.25">
      <c r="A35" s="21" t="s">
        <v>201</v>
      </c>
      <c r="B35" s="21" t="s">
        <v>190</v>
      </c>
      <c r="C35" s="21"/>
      <c r="D35" s="22">
        <v>235.65</v>
      </c>
      <c r="E35" s="22">
        <f t="shared" si="8"/>
        <v>403.97142857142865</v>
      </c>
      <c r="F35" s="22">
        <f t="shared" si="7"/>
        <v>120</v>
      </c>
      <c r="G35" s="22">
        <v>10</v>
      </c>
      <c r="H35" s="22">
        <v>10</v>
      </c>
      <c r="I35" s="22">
        <v>10</v>
      </c>
      <c r="J35" s="22">
        <v>10</v>
      </c>
      <c r="K35" s="22">
        <v>10</v>
      </c>
      <c r="L35" s="22">
        <v>10</v>
      </c>
      <c r="M35" s="22">
        <v>10</v>
      </c>
      <c r="N35" s="22">
        <v>10</v>
      </c>
      <c r="O35" s="22">
        <v>10</v>
      </c>
      <c r="P35" s="22">
        <v>10</v>
      </c>
      <c r="Q35" s="22">
        <v>10</v>
      </c>
      <c r="R35" s="22">
        <v>10</v>
      </c>
      <c r="S35" s="4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Q35" s="24"/>
      <c r="AR35" s="24"/>
      <c r="AS35" s="24"/>
    </row>
    <row r="36" spans="1:45" s="17" customFormat="1" x14ac:dyDescent="0.2">
      <c r="A36" s="3"/>
      <c r="B36" s="3" t="s">
        <v>43</v>
      </c>
      <c r="C36" s="3" t="s">
        <v>16</v>
      </c>
      <c r="D36" s="29">
        <f t="shared" ref="D36:R36" si="9">SUM(D25:D35)</f>
        <v>14920.08</v>
      </c>
      <c r="E36" s="29">
        <f t="shared" si="9"/>
        <v>25577.280000000002</v>
      </c>
      <c r="F36" s="29">
        <f t="shared" si="9"/>
        <v>25381.08</v>
      </c>
      <c r="G36" s="29">
        <f t="shared" si="9"/>
        <v>2115.09</v>
      </c>
      <c r="H36" s="29">
        <f t="shared" si="9"/>
        <v>2115.09</v>
      </c>
      <c r="I36" s="29">
        <f t="shared" si="9"/>
        <v>2115.09</v>
      </c>
      <c r="J36" s="29">
        <f t="shared" si="9"/>
        <v>2115.09</v>
      </c>
      <c r="K36" s="29">
        <f t="shared" si="9"/>
        <v>2115.09</v>
      </c>
      <c r="L36" s="29">
        <f t="shared" si="9"/>
        <v>2115.09</v>
      </c>
      <c r="M36" s="29">
        <f t="shared" si="9"/>
        <v>2115.09</v>
      </c>
      <c r="N36" s="29">
        <f t="shared" si="9"/>
        <v>2115.09</v>
      </c>
      <c r="O36" s="29">
        <f t="shared" si="9"/>
        <v>2115.09</v>
      </c>
      <c r="P36" s="29">
        <f t="shared" si="9"/>
        <v>2115.09</v>
      </c>
      <c r="Q36" s="29">
        <f t="shared" si="9"/>
        <v>2115.09</v>
      </c>
      <c r="R36" s="29">
        <f t="shared" si="9"/>
        <v>2115.09</v>
      </c>
      <c r="S36" s="41"/>
      <c r="T36"/>
      <c r="U36"/>
      <c r="V36"/>
      <c r="W36"/>
      <c r="X36" s="12"/>
      <c r="Y36" s="12"/>
      <c r="Z36" s="12"/>
      <c r="AA36" s="12"/>
      <c r="AB36" s="12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 s="12"/>
      <c r="AQ36"/>
      <c r="AR36"/>
      <c r="AS36"/>
    </row>
    <row r="37" spans="1:45" ht="13.5" thickBot="1" x14ac:dyDescent="0.25">
      <c r="A37" s="5"/>
      <c r="B37" s="5"/>
      <c r="C37" s="5"/>
      <c r="D37" s="30"/>
      <c r="E37" s="2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3"/>
      <c r="T37" s="12"/>
      <c r="U37" s="12"/>
      <c r="V37" s="12"/>
      <c r="W37" s="12"/>
      <c r="AR37" s="17"/>
      <c r="AS37" s="17"/>
    </row>
    <row r="38" spans="1:45" x14ac:dyDescent="0.2">
      <c r="A38" s="3"/>
      <c r="B38" s="3" t="s">
        <v>44</v>
      </c>
      <c r="C38" s="3" t="s">
        <v>16</v>
      </c>
      <c r="D38" s="29">
        <f t="shared" ref="D38:R38" si="10">D10+D17+D22+D36</f>
        <v>285421.37</v>
      </c>
      <c r="E38" s="29">
        <f t="shared" si="10"/>
        <v>489293.77714285714</v>
      </c>
      <c r="F38" s="29">
        <f t="shared" si="10"/>
        <v>510589.23000000004</v>
      </c>
      <c r="G38" s="29">
        <f t="shared" si="10"/>
        <v>42522.164999999994</v>
      </c>
      <c r="H38" s="29">
        <f t="shared" si="10"/>
        <v>42464.714999999997</v>
      </c>
      <c r="I38" s="29">
        <f t="shared" si="10"/>
        <v>42452.115000000005</v>
      </c>
      <c r="J38" s="29">
        <f t="shared" si="10"/>
        <v>42486.240000000005</v>
      </c>
      <c r="K38" s="29">
        <f t="shared" si="10"/>
        <v>42514.514999999999</v>
      </c>
      <c r="L38" s="29">
        <f t="shared" si="10"/>
        <v>42645.214999999997</v>
      </c>
      <c r="M38" s="29">
        <f t="shared" si="10"/>
        <v>42393.714999999997</v>
      </c>
      <c r="N38" s="29">
        <f t="shared" si="10"/>
        <v>42344.039999999994</v>
      </c>
      <c r="O38" s="29">
        <f t="shared" si="10"/>
        <v>42435.69</v>
      </c>
      <c r="P38" s="29">
        <f t="shared" si="10"/>
        <v>42658.964999999997</v>
      </c>
      <c r="Q38" s="29">
        <f t="shared" si="10"/>
        <v>42752.565000000002</v>
      </c>
      <c r="R38" s="29">
        <f t="shared" si="10"/>
        <v>42919.289999999994</v>
      </c>
    </row>
    <row r="39" spans="1:45" x14ac:dyDescent="0.2">
      <c r="A39" s="5"/>
      <c r="B39" s="5"/>
      <c r="C39" s="5"/>
      <c r="D39" s="30"/>
      <c r="E39" s="2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Q39" s="17"/>
    </row>
    <row r="40" spans="1:45" x14ac:dyDescent="0.2">
      <c r="A40" s="19" t="s">
        <v>148</v>
      </c>
      <c r="C40" s="3" t="s">
        <v>16</v>
      </c>
      <c r="D40" s="23"/>
      <c r="E40" s="2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X40" s="17"/>
      <c r="Y40" s="17"/>
      <c r="Z40" s="17"/>
      <c r="AA40" s="17"/>
      <c r="AB40" s="17"/>
      <c r="AP40" s="17"/>
    </row>
    <row r="41" spans="1:45" x14ac:dyDescent="0.2">
      <c r="A41" s="5"/>
      <c r="B41" s="5"/>
      <c r="C41" s="5"/>
      <c r="D41" s="30"/>
      <c r="E41" s="2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4"/>
      <c r="T41" s="17"/>
      <c r="U41" s="17"/>
      <c r="V41" s="17"/>
      <c r="W41" s="17"/>
    </row>
    <row r="42" spans="1:45" x14ac:dyDescent="0.2">
      <c r="A42" s="15"/>
      <c r="B42" s="15" t="s">
        <v>45</v>
      </c>
      <c r="C42" s="15"/>
      <c r="D42" s="31"/>
      <c r="E42" s="3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45" s="20" customFormat="1" x14ac:dyDescent="0.2">
      <c r="A43" s="21" t="s">
        <v>46</v>
      </c>
      <c r="B43" s="21" t="s">
        <v>47</v>
      </c>
      <c r="C43" s="21" t="s">
        <v>16</v>
      </c>
      <c r="D43" s="22">
        <v>37.4</v>
      </c>
      <c r="E43" s="22">
        <f t="shared" ref="E43:E62" si="11">D43/7*12</f>
        <v>64.114285714285714</v>
      </c>
      <c r="F43" s="22">
        <f t="shared" ref="F43:F62" si="12">SUM(G43:R43)</f>
        <v>1799.9800000000002</v>
      </c>
      <c r="G43" s="22">
        <v>98.18</v>
      </c>
      <c r="H43" s="22">
        <v>98.18</v>
      </c>
      <c r="I43" s="22">
        <v>98.18</v>
      </c>
      <c r="J43" s="22">
        <v>98.18</v>
      </c>
      <c r="K43" s="22">
        <v>98.18</v>
      </c>
      <c r="L43" s="22">
        <v>98.18</v>
      </c>
      <c r="M43" s="22">
        <v>98.18</v>
      </c>
      <c r="N43" s="22">
        <v>98.18</v>
      </c>
      <c r="O43" s="22">
        <v>720</v>
      </c>
      <c r="P43" s="22">
        <v>98.18</v>
      </c>
      <c r="Q43" s="22">
        <v>98.18</v>
      </c>
      <c r="R43" s="22">
        <v>98.18</v>
      </c>
      <c r="S43" s="92" t="s">
        <v>202</v>
      </c>
    </row>
    <row r="44" spans="1:45" s="20" customFormat="1" x14ac:dyDescent="0.2">
      <c r="A44" s="21" t="s">
        <v>151</v>
      </c>
      <c r="B44" s="21" t="s">
        <v>147</v>
      </c>
      <c r="C44" s="21"/>
      <c r="D44" s="22">
        <v>939.6</v>
      </c>
      <c r="E44" s="22">
        <f t="shared" si="11"/>
        <v>1610.7428571428572</v>
      </c>
      <c r="F44" s="22">
        <f t="shared" si="12"/>
        <v>1567.32</v>
      </c>
      <c r="G44" s="23">
        <f>122.4+113</f>
        <v>235.4</v>
      </c>
      <c r="H44" s="23">
        <f>56.16+113</f>
        <v>169.16</v>
      </c>
      <c r="I44" s="23">
        <v>113</v>
      </c>
      <c r="J44" s="23">
        <f>32.76+113</f>
        <v>145.76</v>
      </c>
      <c r="K44" s="23">
        <v>113</v>
      </c>
      <c r="L44" s="23">
        <v>113</v>
      </c>
      <c r="M44" s="23">
        <v>113</v>
      </c>
      <c r="N44" s="23">
        <v>113</v>
      </c>
      <c r="O44" s="23">
        <v>113</v>
      </c>
      <c r="P44" s="23">
        <v>113</v>
      </c>
      <c r="Q44" s="23">
        <v>113</v>
      </c>
      <c r="R44" s="23">
        <v>113</v>
      </c>
      <c r="S44" s="42" t="s">
        <v>194</v>
      </c>
    </row>
    <row r="45" spans="1:45" s="20" customFormat="1" x14ac:dyDescent="0.2">
      <c r="A45" s="21" t="s">
        <v>48</v>
      </c>
      <c r="B45" s="21" t="s">
        <v>49</v>
      </c>
      <c r="C45" s="21" t="s">
        <v>16</v>
      </c>
      <c r="D45" s="22">
        <v>0</v>
      </c>
      <c r="E45" s="22">
        <f t="shared" si="11"/>
        <v>0</v>
      </c>
      <c r="F45" s="22">
        <f t="shared" si="12"/>
        <v>120</v>
      </c>
      <c r="G45" s="22">
        <v>10</v>
      </c>
      <c r="H45" s="22">
        <v>10</v>
      </c>
      <c r="I45" s="22">
        <v>10</v>
      </c>
      <c r="J45" s="22">
        <v>10</v>
      </c>
      <c r="K45" s="22">
        <v>10</v>
      </c>
      <c r="L45" s="22">
        <v>10</v>
      </c>
      <c r="M45" s="22">
        <v>10</v>
      </c>
      <c r="N45" s="22">
        <v>10</v>
      </c>
      <c r="O45" s="22">
        <v>10</v>
      </c>
      <c r="P45" s="22">
        <v>10</v>
      </c>
      <c r="Q45" s="22">
        <v>10</v>
      </c>
      <c r="R45" s="22">
        <v>10</v>
      </c>
      <c r="S45" s="68"/>
    </row>
    <row r="46" spans="1:45" s="20" customFormat="1" x14ac:dyDescent="0.2">
      <c r="A46" s="21" t="s">
        <v>196</v>
      </c>
      <c r="B46" s="21" t="s">
        <v>193</v>
      </c>
      <c r="C46" s="21"/>
      <c r="D46" s="22">
        <v>94.65</v>
      </c>
      <c r="E46" s="22">
        <f t="shared" si="11"/>
        <v>162.25714285714287</v>
      </c>
      <c r="F46" s="22">
        <f t="shared" si="12"/>
        <v>288</v>
      </c>
      <c r="G46" s="22">
        <v>24</v>
      </c>
      <c r="H46" s="22">
        <v>24</v>
      </c>
      <c r="I46" s="22">
        <v>24</v>
      </c>
      <c r="J46" s="22">
        <v>24</v>
      </c>
      <c r="K46" s="22">
        <v>24</v>
      </c>
      <c r="L46" s="22">
        <v>24</v>
      </c>
      <c r="M46" s="22">
        <v>24</v>
      </c>
      <c r="N46" s="22">
        <v>24</v>
      </c>
      <c r="O46" s="22">
        <v>24</v>
      </c>
      <c r="P46" s="22">
        <v>24</v>
      </c>
      <c r="Q46" s="22">
        <v>24</v>
      </c>
      <c r="R46" s="22">
        <v>24</v>
      </c>
      <c r="S46" s="69"/>
    </row>
    <row r="47" spans="1:45" s="20" customFormat="1" x14ac:dyDescent="0.2">
      <c r="A47" s="21" t="s">
        <v>50</v>
      </c>
      <c r="B47" s="21" t="s">
        <v>51</v>
      </c>
      <c r="C47" s="21" t="s">
        <v>16</v>
      </c>
      <c r="D47" s="22">
        <v>0</v>
      </c>
      <c r="E47" s="22">
        <f t="shared" si="11"/>
        <v>0</v>
      </c>
      <c r="F47" s="22">
        <f t="shared" si="12"/>
        <v>200.04000000000008</v>
      </c>
      <c r="G47" s="22">
        <v>16.670000000000002</v>
      </c>
      <c r="H47" s="22">
        <v>16.670000000000002</v>
      </c>
      <c r="I47" s="22">
        <v>16.670000000000002</v>
      </c>
      <c r="J47" s="22">
        <v>16.670000000000002</v>
      </c>
      <c r="K47" s="22">
        <v>16.670000000000002</v>
      </c>
      <c r="L47" s="22">
        <v>16.670000000000002</v>
      </c>
      <c r="M47" s="22">
        <v>16.670000000000002</v>
      </c>
      <c r="N47" s="22">
        <v>16.670000000000002</v>
      </c>
      <c r="O47" s="22">
        <v>16.670000000000002</v>
      </c>
      <c r="P47" s="22">
        <v>16.670000000000002</v>
      </c>
      <c r="Q47" s="22">
        <v>16.670000000000002</v>
      </c>
      <c r="R47" s="22">
        <v>16.670000000000002</v>
      </c>
      <c r="S47" s="69" t="s">
        <v>210</v>
      </c>
    </row>
    <row r="48" spans="1:45" s="20" customFormat="1" x14ac:dyDescent="0.2">
      <c r="A48" s="21" t="s">
        <v>52</v>
      </c>
      <c r="B48" s="21" t="s">
        <v>53</v>
      </c>
      <c r="C48" s="21" t="s">
        <v>16</v>
      </c>
      <c r="D48" s="22">
        <v>14124.16</v>
      </c>
      <c r="E48" s="22">
        <f t="shared" si="11"/>
        <v>24212.845714285715</v>
      </c>
      <c r="F48" s="22">
        <f t="shared" si="12"/>
        <v>25526.16</v>
      </c>
      <c r="G48" s="22">
        <v>2127.1799999999998</v>
      </c>
      <c r="H48" s="22">
        <v>2127.1799999999998</v>
      </c>
      <c r="I48" s="22">
        <v>2127.1799999999998</v>
      </c>
      <c r="J48" s="22">
        <v>2127.1799999999998</v>
      </c>
      <c r="K48" s="22">
        <v>2127.1799999999998</v>
      </c>
      <c r="L48" s="22">
        <v>2127.1799999999998</v>
      </c>
      <c r="M48" s="22">
        <v>2127.1799999999998</v>
      </c>
      <c r="N48" s="22">
        <v>2127.1799999999998</v>
      </c>
      <c r="O48" s="22">
        <v>2127.1799999999998</v>
      </c>
      <c r="P48" s="22">
        <v>2127.1799999999998</v>
      </c>
      <c r="Q48" s="22">
        <v>2127.1799999999998</v>
      </c>
      <c r="R48" s="22">
        <v>2127.1799999999998</v>
      </c>
      <c r="S48" s="45">
        <v>0.05</v>
      </c>
    </row>
    <row r="49" spans="1:45" s="20" customFormat="1" x14ac:dyDescent="0.2">
      <c r="A49" s="21" t="s">
        <v>152</v>
      </c>
      <c r="B49" s="21" t="s">
        <v>153</v>
      </c>
      <c r="C49" s="21"/>
      <c r="D49" s="22">
        <v>6471.61</v>
      </c>
      <c r="E49" s="22">
        <f t="shared" si="11"/>
        <v>11094.188571428571</v>
      </c>
      <c r="F49" s="22">
        <f t="shared" si="12"/>
        <v>12579.839999999998</v>
      </c>
      <c r="G49" s="22">
        <v>998.4</v>
      </c>
      <c r="H49" s="22">
        <v>998.4</v>
      </c>
      <c r="I49" s="22">
        <v>998.4</v>
      </c>
      <c r="J49" s="22">
        <v>998.4</v>
      </c>
      <c r="K49" s="22">
        <v>998.4</v>
      </c>
      <c r="L49" s="22">
        <v>998.4</v>
      </c>
      <c r="M49" s="22">
        <v>998.4</v>
      </c>
      <c r="N49" s="22">
        <v>998.4</v>
      </c>
      <c r="O49" s="22">
        <v>998.4</v>
      </c>
      <c r="P49" s="22">
        <v>998.4</v>
      </c>
      <c r="Q49" s="22">
        <v>998.4</v>
      </c>
      <c r="R49" s="22">
        <f>998.4+599.04</f>
        <v>1597.44</v>
      </c>
      <c r="S49" s="69" t="s">
        <v>221</v>
      </c>
    </row>
    <row r="50" spans="1:45" s="20" customFormat="1" x14ac:dyDescent="0.2">
      <c r="A50" s="21" t="s">
        <v>54</v>
      </c>
      <c r="B50" s="21" t="s">
        <v>55</v>
      </c>
      <c r="C50" s="21" t="s">
        <v>16</v>
      </c>
      <c r="D50" s="22">
        <v>2344.88</v>
      </c>
      <c r="E50" s="22">
        <f t="shared" si="11"/>
        <v>4019.7942857142857</v>
      </c>
      <c r="F50" s="22">
        <f t="shared" si="12"/>
        <v>4180.8</v>
      </c>
      <c r="G50" s="22">
        <v>348.4</v>
      </c>
      <c r="H50" s="22">
        <v>348.4</v>
      </c>
      <c r="I50" s="22">
        <v>348.4</v>
      </c>
      <c r="J50" s="22">
        <v>348.4</v>
      </c>
      <c r="K50" s="22">
        <v>348.4</v>
      </c>
      <c r="L50" s="22">
        <v>348.4</v>
      </c>
      <c r="M50" s="22">
        <v>348.4</v>
      </c>
      <c r="N50" s="22">
        <v>348.4</v>
      </c>
      <c r="O50" s="22">
        <v>348.4</v>
      </c>
      <c r="P50" s="22">
        <v>348.4</v>
      </c>
      <c r="Q50" s="22">
        <v>348.4</v>
      </c>
      <c r="R50" s="22">
        <v>348.4</v>
      </c>
      <c r="S50" s="42" t="s">
        <v>195</v>
      </c>
    </row>
    <row r="51" spans="1:45" s="20" customFormat="1" x14ac:dyDescent="0.2">
      <c r="A51" s="21" t="s">
        <v>56</v>
      </c>
      <c r="B51" s="21" t="s">
        <v>57</v>
      </c>
      <c r="C51" s="21" t="s">
        <v>16</v>
      </c>
      <c r="D51" s="22">
        <v>14189.07</v>
      </c>
      <c r="E51" s="22">
        <f t="shared" si="11"/>
        <v>24324.12</v>
      </c>
      <c r="F51" s="22">
        <f t="shared" si="12"/>
        <v>25349.461500000001</v>
      </c>
      <c r="G51" s="22">
        <f>(G38-G53-G60)*0.05</f>
        <v>2111.1082499999998</v>
      </c>
      <c r="H51" s="22">
        <f t="shared" ref="H51:R51" si="13">(H38-H53-H60)*0.05</f>
        <v>2108.2357499999998</v>
      </c>
      <c r="I51" s="22">
        <f t="shared" si="13"/>
        <v>2107.6057500000002</v>
      </c>
      <c r="J51" s="22">
        <f t="shared" si="13"/>
        <v>2109.3120000000004</v>
      </c>
      <c r="K51" s="22">
        <f t="shared" si="13"/>
        <v>2110.7257500000001</v>
      </c>
      <c r="L51" s="22">
        <f t="shared" si="13"/>
        <v>2117.2607499999999</v>
      </c>
      <c r="M51" s="22">
        <f t="shared" si="13"/>
        <v>2104.6857500000001</v>
      </c>
      <c r="N51" s="22">
        <f t="shared" si="13"/>
        <v>2102.2019999999998</v>
      </c>
      <c r="O51" s="22">
        <f t="shared" si="13"/>
        <v>2106.7845000000002</v>
      </c>
      <c r="P51" s="22">
        <f t="shared" si="13"/>
        <v>2117.9482499999999</v>
      </c>
      <c r="Q51" s="22">
        <f t="shared" si="13"/>
        <v>2122.6282500000002</v>
      </c>
      <c r="R51" s="22">
        <f t="shared" si="13"/>
        <v>2130.9644999999996</v>
      </c>
      <c r="S51" s="45"/>
    </row>
    <row r="52" spans="1:45" s="20" customFormat="1" x14ac:dyDescent="0.2">
      <c r="A52" s="21" t="s">
        <v>58</v>
      </c>
      <c r="B52" s="21" t="s">
        <v>59</v>
      </c>
      <c r="C52" s="21" t="s">
        <v>16</v>
      </c>
      <c r="D52" s="22">
        <v>10138.75</v>
      </c>
      <c r="E52" s="22">
        <f t="shared" si="11"/>
        <v>17380.714285714286</v>
      </c>
      <c r="F52" s="22">
        <f t="shared" si="12"/>
        <v>21024.199999999997</v>
      </c>
      <c r="G52" s="22">
        <v>1668.6</v>
      </c>
      <c r="H52" s="22">
        <v>1668.6</v>
      </c>
      <c r="I52" s="22">
        <v>1668.6</v>
      </c>
      <c r="J52" s="22">
        <v>1668.6</v>
      </c>
      <c r="K52" s="22">
        <v>1668.6</v>
      </c>
      <c r="L52" s="22">
        <v>1668.6</v>
      </c>
      <c r="M52" s="22">
        <v>1668.6</v>
      </c>
      <c r="N52" s="22">
        <v>1668.6</v>
      </c>
      <c r="O52" s="22">
        <v>1668.6</v>
      </c>
      <c r="P52" s="22">
        <v>1668.6</v>
      </c>
      <c r="Q52" s="22">
        <v>1668.6</v>
      </c>
      <c r="R52" s="22">
        <f>1668.6+1001</f>
        <v>2669.6</v>
      </c>
      <c r="S52" s="67" t="s">
        <v>237</v>
      </c>
    </row>
    <row r="53" spans="1:45" s="20" customFormat="1" x14ac:dyDescent="0.2">
      <c r="A53" s="21" t="s">
        <v>166</v>
      </c>
      <c r="B53" s="21" t="s">
        <v>165</v>
      </c>
      <c r="C53" s="21" t="s">
        <v>16</v>
      </c>
      <c r="D53" s="22">
        <v>0</v>
      </c>
      <c r="E53" s="22">
        <f t="shared" si="11"/>
        <v>0</v>
      </c>
      <c r="F53" s="22">
        <f t="shared" si="12"/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42"/>
    </row>
    <row r="54" spans="1:45" s="20" customFormat="1" x14ac:dyDescent="0.2">
      <c r="A54" s="21" t="s">
        <v>167</v>
      </c>
      <c r="B54" s="21" t="s">
        <v>168</v>
      </c>
      <c r="C54" s="21"/>
      <c r="D54" s="22">
        <v>245</v>
      </c>
      <c r="E54" s="22">
        <f t="shared" si="11"/>
        <v>420</v>
      </c>
      <c r="F54" s="22">
        <f t="shared" si="12"/>
        <v>570</v>
      </c>
      <c r="G54" s="22">
        <v>47.5</v>
      </c>
      <c r="H54" s="22">
        <v>47.5</v>
      </c>
      <c r="I54" s="22">
        <v>47.5</v>
      </c>
      <c r="J54" s="22">
        <v>47.5</v>
      </c>
      <c r="K54" s="22">
        <v>47.5</v>
      </c>
      <c r="L54" s="22">
        <v>47.5</v>
      </c>
      <c r="M54" s="22">
        <v>47.5</v>
      </c>
      <c r="N54" s="22">
        <v>47.5</v>
      </c>
      <c r="O54" s="22">
        <v>47.5</v>
      </c>
      <c r="P54" s="22">
        <v>47.5</v>
      </c>
      <c r="Q54" s="22">
        <v>47.5</v>
      </c>
      <c r="R54" s="22">
        <v>47.5</v>
      </c>
      <c r="S54" s="69" t="s">
        <v>215</v>
      </c>
    </row>
    <row r="55" spans="1:45" s="20" customFormat="1" x14ac:dyDescent="0.2">
      <c r="A55" s="21" t="s">
        <v>60</v>
      </c>
      <c r="B55" s="21" t="s">
        <v>61</v>
      </c>
      <c r="C55" s="21" t="s">
        <v>16</v>
      </c>
      <c r="D55" s="22">
        <v>1117</v>
      </c>
      <c r="E55" s="22">
        <v>1179</v>
      </c>
      <c r="F55" s="22">
        <f t="shared" si="12"/>
        <v>2717</v>
      </c>
      <c r="G55" s="22">
        <v>0</v>
      </c>
      <c r="H55" s="22">
        <v>0</v>
      </c>
      <c r="I55" s="22">
        <f>1117+1600</f>
        <v>2717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93" t="s">
        <v>232</v>
      </c>
    </row>
    <row r="56" spans="1:45" s="20" customFormat="1" x14ac:dyDescent="0.2">
      <c r="A56" s="21" t="s">
        <v>62</v>
      </c>
      <c r="B56" s="21" t="s">
        <v>63</v>
      </c>
      <c r="C56" s="21" t="s">
        <v>16</v>
      </c>
      <c r="D56" s="22">
        <v>3168.5</v>
      </c>
      <c r="E56" s="22">
        <f t="shared" si="11"/>
        <v>5431.7142857142862</v>
      </c>
      <c r="F56" s="22">
        <f t="shared" si="12"/>
        <v>5850.4787651999986</v>
      </c>
      <c r="G56" s="22">
        <f>270+((G49+G52+G73+G94)*0.03)</f>
        <v>485.19332009999999</v>
      </c>
      <c r="H56" s="22">
        <f t="shared" ref="H56:R56" si="14">270+((H49+H52+H73+H94)*0.03)</f>
        <v>485.19332009999999</v>
      </c>
      <c r="I56" s="22">
        <f t="shared" si="14"/>
        <v>485.19332009999999</v>
      </c>
      <c r="J56" s="22">
        <f t="shared" si="14"/>
        <v>485.19332009999999</v>
      </c>
      <c r="K56" s="22">
        <f t="shared" si="14"/>
        <v>473.45378129999995</v>
      </c>
      <c r="L56" s="22">
        <f t="shared" si="14"/>
        <v>473.45378129999995</v>
      </c>
      <c r="M56" s="22">
        <f t="shared" si="14"/>
        <v>473.45378129999995</v>
      </c>
      <c r="N56" s="22">
        <f t="shared" si="14"/>
        <v>473.45378129999995</v>
      </c>
      <c r="O56" s="22">
        <f t="shared" si="14"/>
        <v>473.45378129999995</v>
      </c>
      <c r="P56" s="22">
        <f t="shared" si="14"/>
        <v>473.45378129999995</v>
      </c>
      <c r="Q56" s="22">
        <f t="shared" si="14"/>
        <v>473.45378129999995</v>
      </c>
      <c r="R56" s="22">
        <f t="shared" si="14"/>
        <v>595.52901569999995</v>
      </c>
      <c r="S56" s="57"/>
    </row>
    <row r="57" spans="1:45" s="24" customFormat="1" x14ac:dyDescent="0.2">
      <c r="A57" s="21" t="s">
        <v>64</v>
      </c>
      <c r="B57" s="21" t="s">
        <v>65</v>
      </c>
      <c r="C57" s="21" t="s">
        <v>16</v>
      </c>
      <c r="D57" s="22">
        <v>53.3</v>
      </c>
      <c r="E57" s="22">
        <f t="shared" si="11"/>
        <v>91.371428571428567</v>
      </c>
      <c r="F57" s="22">
        <f t="shared" si="12"/>
        <v>60</v>
      </c>
      <c r="G57" s="22">
        <v>5</v>
      </c>
      <c r="H57" s="22">
        <v>5</v>
      </c>
      <c r="I57" s="22">
        <v>5</v>
      </c>
      <c r="J57" s="22">
        <v>5</v>
      </c>
      <c r="K57" s="22">
        <v>5</v>
      </c>
      <c r="L57" s="22">
        <v>5</v>
      </c>
      <c r="M57" s="22">
        <v>5</v>
      </c>
      <c r="N57" s="22">
        <v>5</v>
      </c>
      <c r="O57" s="22">
        <v>5</v>
      </c>
      <c r="P57" s="22">
        <v>5</v>
      </c>
      <c r="Q57" s="22">
        <v>5</v>
      </c>
      <c r="R57" s="22">
        <v>5</v>
      </c>
      <c r="S57" s="42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s="20" customFormat="1" x14ac:dyDescent="0.2">
      <c r="A58" s="21" t="s">
        <v>66</v>
      </c>
      <c r="B58" s="21" t="s">
        <v>67</v>
      </c>
      <c r="C58" s="21" t="s">
        <v>16</v>
      </c>
      <c r="D58" s="22">
        <v>1535.8</v>
      </c>
      <c r="E58" s="22">
        <f t="shared" si="11"/>
        <v>2632.8</v>
      </c>
      <c r="F58" s="22">
        <f t="shared" si="12"/>
        <v>2525.2800000000002</v>
      </c>
      <c r="G58" s="22">
        <v>210.44</v>
      </c>
      <c r="H58" s="22">
        <v>210.44</v>
      </c>
      <c r="I58" s="22">
        <v>210.44</v>
      </c>
      <c r="J58" s="22">
        <v>210.44</v>
      </c>
      <c r="K58" s="22">
        <v>210.44</v>
      </c>
      <c r="L58" s="22">
        <v>210.44</v>
      </c>
      <c r="M58" s="22">
        <v>210.44</v>
      </c>
      <c r="N58" s="22">
        <v>210.44</v>
      </c>
      <c r="O58" s="22">
        <v>210.44</v>
      </c>
      <c r="P58" s="22">
        <v>210.44</v>
      </c>
      <c r="Q58" s="22">
        <v>210.44</v>
      </c>
      <c r="R58" s="22">
        <v>210.44</v>
      </c>
      <c r="S58" s="42" t="s">
        <v>191</v>
      </c>
      <c r="AR58" s="24"/>
      <c r="AS58" s="24"/>
    </row>
    <row r="59" spans="1:45" s="25" customFormat="1" x14ac:dyDescent="0.2">
      <c r="A59" s="21" t="s">
        <v>68</v>
      </c>
      <c r="B59" s="21" t="s">
        <v>69</v>
      </c>
      <c r="C59" s="21" t="s">
        <v>16</v>
      </c>
      <c r="D59" s="22">
        <v>627.76</v>
      </c>
      <c r="E59" s="22">
        <f t="shared" si="11"/>
        <v>1076.1599999999999</v>
      </c>
      <c r="F59" s="22">
        <f t="shared" si="12"/>
        <v>1157.4000000000003</v>
      </c>
      <c r="G59" s="22">
        <v>96.45</v>
      </c>
      <c r="H59" s="22">
        <v>96.45</v>
      </c>
      <c r="I59" s="22">
        <v>96.45</v>
      </c>
      <c r="J59" s="22">
        <v>96.45</v>
      </c>
      <c r="K59" s="22">
        <v>96.45</v>
      </c>
      <c r="L59" s="22">
        <v>96.45</v>
      </c>
      <c r="M59" s="22">
        <v>96.45</v>
      </c>
      <c r="N59" s="22">
        <v>96.45</v>
      </c>
      <c r="O59" s="22">
        <v>96.45</v>
      </c>
      <c r="P59" s="22">
        <v>96.45</v>
      </c>
      <c r="Q59" s="22">
        <v>96.45</v>
      </c>
      <c r="R59" s="22">
        <v>96.45</v>
      </c>
      <c r="S59" s="42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 s="20" customFormat="1" x14ac:dyDescent="0.2">
      <c r="A60" s="21" t="s">
        <v>70</v>
      </c>
      <c r="B60" s="21" t="s">
        <v>71</v>
      </c>
      <c r="C60" s="21" t="s">
        <v>16</v>
      </c>
      <c r="D60" s="22">
        <v>1850.06</v>
      </c>
      <c r="E60" s="22">
        <f t="shared" si="11"/>
        <v>3171.5314285714285</v>
      </c>
      <c r="F60" s="22">
        <f t="shared" si="12"/>
        <v>3600</v>
      </c>
      <c r="G60" s="22">
        <v>300</v>
      </c>
      <c r="H60" s="22">
        <v>300</v>
      </c>
      <c r="I60" s="22">
        <v>300</v>
      </c>
      <c r="J60" s="22">
        <v>300</v>
      </c>
      <c r="K60" s="22">
        <v>300</v>
      </c>
      <c r="L60" s="22">
        <v>300</v>
      </c>
      <c r="M60" s="22">
        <v>300</v>
      </c>
      <c r="N60" s="22">
        <v>300</v>
      </c>
      <c r="O60" s="22">
        <v>300</v>
      </c>
      <c r="P60" s="22">
        <v>300</v>
      </c>
      <c r="Q60" s="22">
        <v>300</v>
      </c>
      <c r="R60" s="22">
        <v>300</v>
      </c>
      <c r="S60" s="4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Q60" s="24"/>
      <c r="AR60" s="25"/>
      <c r="AS60" s="25"/>
    </row>
    <row r="61" spans="1:45" s="20" customFormat="1" x14ac:dyDescent="0.2">
      <c r="A61" s="21" t="s">
        <v>72</v>
      </c>
      <c r="B61" s="21" t="s">
        <v>73</v>
      </c>
      <c r="C61" s="21" t="s">
        <v>16</v>
      </c>
      <c r="D61" s="22">
        <v>246</v>
      </c>
      <c r="E61" s="22">
        <f t="shared" si="11"/>
        <v>421.71428571428578</v>
      </c>
      <c r="F61" s="22">
        <f t="shared" si="12"/>
        <v>237</v>
      </c>
      <c r="G61" s="22">
        <v>0</v>
      </c>
      <c r="H61" s="22">
        <v>0</v>
      </c>
      <c r="I61" s="22">
        <v>30</v>
      </c>
      <c r="J61" s="22">
        <v>48</v>
      </c>
      <c r="K61" s="22">
        <v>30</v>
      </c>
      <c r="L61" s="22">
        <v>0</v>
      </c>
      <c r="M61" s="22">
        <v>129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42"/>
      <c r="X61" s="24"/>
      <c r="Y61" s="24"/>
      <c r="Z61" s="24"/>
      <c r="AA61" s="24"/>
      <c r="AB61" s="24"/>
      <c r="AP61" s="24"/>
    </row>
    <row r="62" spans="1:45" s="20" customFormat="1" ht="13.5" thickBot="1" x14ac:dyDescent="0.25">
      <c r="A62" s="21" t="s">
        <v>74</v>
      </c>
      <c r="B62" s="21" t="s">
        <v>75</v>
      </c>
      <c r="C62" s="21" t="s">
        <v>16</v>
      </c>
      <c r="D62" s="22">
        <v>415.2</v>
      </c>
      <c r="E62" s="22">
        <f t="shared" si="11"/>
        <v>711.77142857142849</v>
      </c>
      <c r="F62" s="22">
        <f t="shared" si="12"/>
        <v>624</v>
      </c>
      <c r="G62" s="22">
        <v>52</v>
      </c>
      <c r="H62" s="22">
        <v>52</v>
      </c>
      <c r="I62" s="22">
        <v>52</v>
      </c>
      <c r="J62" s="22">
        <v>52</v>
      </c>
      <c r="K62" s="22">
        <v>52</v>
      </c>
      <c r="L62" s="22">
        <v>52</v>
      </c>
      <c r="M62" s="22">
        <v>52</v>
      </c>
      <c r="N62" s="22">
        <v>52</v>
      </c>
      <c r="O62" s="22">
        <v>52</v>
      </c>
      <c r="P62" s="22">
        <v>52</v>
      </c>
      <c r="Q62" s="22">
        <v>52</v>
      </c>
      <c r="R62" s="22">
        <v>52</v>
      </c>
      <c r="S62" s="69" t="s">
        <v>216</v>
      </c>
      <c r="T62" s="24"/>
      <c r="U62" s="24"/>
      <c r="V62" s="24"/>
      <c r="W62" s="24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Q62" s="25"/>
    </row>
    <row r="63" spans="1:45" x14ac:dyDescent="0.2">
      <c r="A63" s="3"/>
      <c r="B63" s="3" t="s">
        <v>76</v>
      </c>
      <c r="C63" s="3" t="s">
        <v>16</v>
      </c>
      <c r="D63" s="29">
        <f>SUM(D43:D62)</f>
        <v>57598.74</v>
      </c>
      <c r="E63" s="29">
        <f t="shared" ref="E63:R63" si="15">SUM(E43:E62)</f>
        <v>98004.840000000011</v>
      </c>
      <c r="F63" s="29">
        <f t="shared" si="15"/>
        <v>109976.96026519999</v>
      </c>
      <c r="G63" s="29">
        <f t="shared" si="15"/>
        <v>8834.5215700999997</v>
      </c>
      <c r="H63" s="29">
        <f t="shared" si="15"/>
        <v>8765.4090701000005</v>
      </c>
      <c r="I63" s="29">
        <f t="shared" si="15"/>
        <v>11455.619070100001</v>
      </c>
      <c r="J63" s="29">
        <f t="shared" si="15"/>
        <v>8791.0853201000009</v>
      </c>
      <c r="K63" s="29">
        <f t="shared" si="15"/>
        <v>8729.9995312999999</v>
      </c>
      <c r="L63" s="29">
        <f t="shared" si="15"/>
        <v>8706.5345312999998</v>
      </c>
      <c r="M63" s="29">
        <f t="shared" si="15"/>
        <v>8822.9595313000009</v>
      </c>
      <c r="N63" s="29">
        <f t="shared" si="15"/>
        <v>8691.4757812999997</v>
      </c>
      <c r="O63" s="29">
        <f t="shared" si="15"/>
        <v>9317.8782813000016</v>
      </c>
      <c r="P63" s="29">
        <f t="shared" si="15"/>
        <v>8707.2220312999998</v>
      </c>
      <c r="Q63" s="29">
        <f t="shared" si="15"/>
        <v>8711.9020313000001</v>
      </c>
      <c r="R63" s="29">
        <f t="shared" si="15"/>
        <v>10442.353515700001</v>
      </c>
      <c r="X63" s="17"/>
      <c r="Y63" s="17"/>
      <c r="Z63" s="17"/>
      <c r="AA63" s="17"/>
      <c r="AB63" s="17"/>
      <c r="AP63" s="17"/>
    </row>
    <row r="64" spans="1:45" s="12" customFormat="1" x14ac:dyDescent="0.2">
      <c r="A64" s="5"/>
      <c r="B64" s="5"/>
      <c r="C64" s="5"/>
      <c r="D64" s="30"/>
      <c r="E64" s="2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44"/>
      <c r="T64" s="17"/>
      <c r="U64" s="17"/>
      <c r="V64" s="17"/>
      <c r="W64" s="17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x14ac:dyDescent="0.2">
      <c r="A65" s="15"/>
      <c r="B65" s="15" t="s">
        <v>77</v>
      </c>
      <c r="C65" s="15"/>
      <c r="D65" s="31"/>
      <c r="E65" s="3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AR65" s="12"/>
      <c r="AS65" s="12"/>
    </row>
    <row r="66" spans="1:45" s="25" customFormat="1" x14ac:dyDescent="0.2">
      <c r="A66" s="21" t="s">
        <v>78</v>
      </c>
      <c r="B66" s="21" t="s">
        <v>79</v>
      </c>
      <c r="C66" s="21" t="s">
        <v>16</v>
      </c>
      <c r="D66" s="22">
        <v>4510.46</v>
      </c>
      <c r="E66" s="22">
        <f>D66/7*12</f>
        <v>7732.2171428571419</v>
      </c>
      <c r="F66" s="22">
        <f>SUM(G66:R66)</f>
        <v>8835.23</v>
      </c>
      <c r="G66" s="70">
        <v>142.71</v>
      </c>
      <c r="H66" s="70">
        <v>796.91</v>
      </c>
      <c r="I66" s="70">
        <v>702.98</v>
      </c>
      <c r="J66" s="70">
        <v>697.96</v>
      </c>
      <c r="K66" s="70">
        <v>711.36</v>
      </c>
      <c r="L66" s="70">
        <v>761.16</v>
      </c>
      <c r="M66" s="70">
        <v>742.48</v>
      </c>
      <c r="N66" s="70">
        <v>751.19</v>
      </c>
      <c r="O66" s="70">
        <v>725.03</v>
      </c>
      <c r="P66" s="70">
        <v>548.44000000000005</v>
      </c>
      <c r="Q66" s="70">
        <v>719.22</v>
      </c>
      <c r="R66" s="70">
        <v>1535.79</v>
      </c>
      <c r="S66" s="84">
        <v>0.01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5" s="20" customFormat="1" x14ac:dyDescent="0.2">
      <c r="A67" s="21" t="s">
        <v>80</v>
      </c>
      <c r="B67" s="21" t="s">
        <v>81</v>
      </c>
      <c r="C67" s="21" t="s">
        <v>16</v>
      </c>
      <c r="D67" s="22">
        <v>7244.66</v>
      </c>
      <c r="E67" s="22">
        <f t="shared" ref="E67:E69" si="16">D67/7*12</f>
        <v>12419.417142857143</v>
      </c>
      <c r="F67" s="22">
        <f>SUM(G67:R67)</f>
        <v>13507.060000000001</v>
      </c>
      <c r="G67" s="81">
        <f>2279.04+22</f>
        <v>2301.04</v>
      </c>
      <c r="H67" s="85">
        <v>0</v>
      </c>
      <c r="I67" s="70">
        <f>1990.81+19</f>
        <v>2009.81</v>
      </c>
      <c r="J67" s="85">
        <v>0</v>
      </c>
      <c r="K67" s="70">
        <f>2596.62+25</f>
        <v>2621.62</v>
      </c>
      <c r="L67" s="85">
        <v>0</v>
      </c>
      <c r="M67" s="70">
        <f>2874.57+28</f>
        <v>2902.57</v>
      </c>
      <c r="N67" s="85">
        <v>0</v>
      </c>
      <c r="O67" s="70">
        <f>1942.13+19</f>
        <v>1961.13</v>
      </c>
      <c r="P67" s="85">
        <v>0</v>
      </c>
      <c r="Q67" s="70">
        <f>1694.89+16</f>
        <v>1710.89</v>
      </c>
      <c r="R67" s="85">
        <v>0</v>
      </c>
      <c r="S67" s="84">
        <v>0.04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Q67" s="24"/>
      <c r="AR67" s="25"/>
      <c r="AS67" s="25"/>
    </row>
    <row r="68" spans="1:45" s="20" customFormat="1" x14ac:dyDescent="0.2">
      <c r="A68" s="21" t="s">
        <v>82</v>
      </c>
      <c r="B68" s="21" t="s">
        <v>83</v>
      </c>
      <c r="C68" s="21" t="s">
        <v>16</v>
      </c>
      <c r="D68" s="22">
        <v>7721.3</v>
      </c>
      <c r="E68" s="22">
        <f t="shared" si="16"/>
        <v>13236.514285714286</v>
      </c>
      <c r="F68" s="22">
        <f>SUM(G68:R68)</f>
        <v>13462.29</v>
      </c>
      <c r="G68" s="81">
        <v>691.4</v>
      </c>
      <c r="H68" s="70">
        <v>1721.42</v>
      </c>
      <c r="I68" s="70">
        <v>1651.84</v>
      </c>
      <c r="J68" s="70">
        <v>1517.5</v>
      </c>
      <c r="K68" s="70">
        <v>1227.3599999999999</v>
      </c>
      <c r="L68" s="70">
        <v>696.56</v>
      </c>
      <c r="M68" s="70">
        <v>524.08000000000004</v>
      </c>
      <c r="N68" s="70">
        <v>527.17999999999995</v>
      </c>
      <c r="O68" s="70">
        <v>383.02</v>
      </c>
      <c r="P68" s="70">
        <v>399.09</v>
      </c>
      <c r="Q68" s="70">
        <v>972.16</v>
      </c>
      <c r="R68" s="70">
        <v>3150.68</v>
      </c>
      <c r="S68" s="84">
        <v>0.04</v>
      </c>
      <c r="X68" s="24"/>
      <c r="Y68" s="24"/>
      <c r="Z68" s="24"/>
      <c r="AA68" s="24"/>
      <c r="AB68" s="24"/>
      <c r="AP68" s="24"/>
    </row>
    <row r="69" spans="1:45" s="20" customFormat="1" ht="13.5" thickBot="1" x14ac:dyDescent="0.25">
      <c r="A69" s="21" t="s">
        <v>84</v>
      </c>
      <c r="B69" s="21" t="s">
        <v>85</v>
      </c>
      <c r="C69" s="21" t="s">
        <v>16</v>
      </c>
      <c r="D69" s="22">
        <v>7433.19</v>
      </c>
      <c r="E69" s="22">
        <f t="shared" si="16"/>
        <v>12742.611428571428</v>
      </c>
      <c r="F69" s="22">
        <f>SUM(G69:R69)</f>
        <v>15403.259999999998</v>
      </c>
      <c r="G69" s="81">
        <v>2961.96</v>
      </c>
      <c r="H69" s="85">
        <v>0</v>
      </c>
      <c r="I69" s="70">
        <v>2077.79</v>
      </c>
      <c r="J69" s="85">
        <v>0</v>
      </c>
      <c r="K69" s="70">
        <v>2519.87</v>
      </c>
      <c r="L69" s="85">
        <v>0</v>
      </c>
      <c r="M69" s="70">
        <v>3058.52</v>
      </c>
      <c r="N69" s="85">
        <v>0</v>
      </c>
      <c r="O69" s="70">
        <v>2464.2399999999998</v>
      </c>
      <c r="P69" s="85">
        <v>0</v>
      </c>
      <c r="Q69" s="70">
        <v>2320.88</v>
      </c>
      <c r="R69" s="85">
        <v>0</v>
      </c>
      <c r="S69" s="84">
        <v>0.03</v>
      </c>
      <c r="T69" s="24"/>
      <c r="U69" s="24"/>
      <c r="V69" s="24"/>
      <c r="W69" s="24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Q69" s="25"/>
    </row>
    <row r="70" spans="1:45" x14ac:dyDescent="0.2">
      <c r="A70" s="3"/>
      <c r="B70" s="3" t="s">
        <v>86</v>
      </c>
      <c r="C70" s="3" t="s">
        <v>16</v>
      </c>
      <c r="D70" s="29">
        <f>SUM(D66:D69)</f>
        <v>26909.609999999997</v>
      </c>
      <c r="E70" s="29">
        <f t="shared" ref="E70:R70" si="17">SUM(E66:E69)</f>
        <v>46130.759999999995</v>
      </c>
      <c r="F70" s="29">
        <f t="shared" si="17"/>
        <v>51207.839999999997</v>
      </c>
      <c r="G70" s="29">
        <f t="shared" si="17"/>
        <v>6097.1100000000006</v>
      </c>
      <c r="H70" s="29">
        <f t="shared" si="17"/>
        <v>2518.33</v>
      </c>
      <c r="I70" s="29">
        <f t="shared" si="17"/>
        <v>6442.42</v>
      </c>
      <c r="J70" s="29">
        <f t="shared" si="17"/>
        <v>2215.46</v>
      </c>
      <c r="K70" s="29">
        <f t="shared" si="17"/>
        <v>7080.21</v>
      </c>
      <c r="L70" s="29">
        <f t="shared" si="17"/>
        <v>1457.7199999999998</v>
      </c>
      <c r="M70" s="29">
        <f t="shared" si="17"/>
        <v>7227.65</v>
      </c>
      <c r="N70" s="29">
        <f t="shared" si="17"/>
        <v>1278.3699999999999</v>
      </c>
      <c r="O70" s="29">
        <f t="shared" si="17"/>
        <v>5533.42</v>
      </c>
      <c r="P70" s="29">
        <f t="shared" si="17"/>
        <v>947.53</v>
      </c>
      <c r="Q70" s="29">
        <f t="shared" si="17"/>
        <v>5723.15</v>
      </c>
      <c r="R70" s="29">
        <f t="shared" si="17"/>
        <v>4686.4699999999993</v>
      </c>
      <c r="X70" s="17"/>
      <c r="Y70" s="17"/>
      <c r="Z70" s="17"/>
      <c r="AA70" s="17"/>
      <c r="AB70" s="17"/>
      <c r="AP70" s="17"/>
    </row>
    <row r="71" spans="1:45" x14ac:dyDescent="0.2">
      <c r="A71" s="4"/>
      <c r="B71" s="4"/>
      <c r="C71" s="4"/>
      <c r="D71" s="26"/>
      <c r="E71" s="2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44"/>
      <c r="T71" s="17"/>
      <c r="U71" s="17"/>
      <c r="V71" s="17"/>
      <c r="W71" s="17"/>
    </row>
    <row r="72" spans="1:45" x14ac:dyDescent="0.2">
      <c r="A72" s="15"/>
      <c r="B72" s="15" t="s">
        <v>145</v>
      </c>
      <c r="C72" s="15"/>
      <c r="D72" s="32"/>
      <c r="E72" s="3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45" s="20" customFormat="1" x14ac:dyDescent="0.2">
      <c r="A73" s="21" t="s">
        <v>176</v>
      </c>
      <c r="B73" s="21" t="s">
        <v>169</v>
      </c>
      <c r="C73" s="28"/>
      <c r="D73" s="22">
        <v>21213.43</v>
      </c>
      <c r="E73" s="22">
        <f t="shared" ref="E73:E89" si="18">D73/7*12</f>
        <v>36365.880000000005</v>
      </c>
      <c r="F73" s="22">
        <f t="shared" ref="F73:F89" si="19">SUM(G73:R73)</f>
        <v>45921.960000000014</v>
      </c>
      <c r="G73" s="26">
        <f>1866.18+998.4+780</f>
        <v>3644.58</v>
      </c>
      <c r="H73" s="26">
        <f t="shared" ref="H73:Q73" si="20">1866.18+998.4+780</f>
        <v>3644.58</v>
      </c>
      <c r="I73" s="26">
        <f t="shared" si="20"/>
        <v>3644.58</v>
      </c>
      <c r="J73" s="26">
        <f t="shared" si="20"/>
        <v>3644.58</v>
      </c>
      <c r="K73" s="26">
        <f t="shared" si="20"/>
        <v>3644.58</v>
      </c>
      <c r="L73" s="26">
        <f t="shared" si="20"/>
        <v>3644.58</v>
      </c>
      <c r="M73" s="26">
        <f t="shared" si="20"/>
        <v>3644.58</v>
      </c>
      <c r="N73" s="26">
        <f t="shared" si="20"/>
        <v>3644.58</v>
      </c>
      <c r="O73" s="26">
        <f t="shared" si="20"/>
        <v>3644.58</v>
      </c>
      <c r="P73" s="26">
        <f t="shared" si="20"/>
        <v>3644.58</v>
      </c>
      <c r="Q73" s="26">
        <f t="shared" si="20"/>
        <v>3644.58</v>
      </c>
      <c r="R73" s="26">
        <f>1866.18+998.4+780+2187</f>
        <v>5831.58</v>
      </c>
      <c r="S73" s="94" t="s">
        <v>238</v>
      </c>
    </row>
    <row r="74" spans="1:45" s="20" customFormat="1" x14ac:dyDescent="0.2">
      <c r="A74" s="21" t="s">
        <v>175</v>
      </c>
      <c r="B74" s="21" t="s">
        <v>170</v>
      </c>
      <c r="C74" s="21" t="s">
        <v>16</v>
      </c>
      <c r="D74" s="22">
        <v>0</v>
      </c>
      <c r="E74" s="22">
        <f t="shared" si="18"/>
        <v>0</v>
      </c>
      <c r="F74" s="22">
        <f t="shared" si="19"/>
        <v>180</v>
      </c>
      <c r="G74" s="22">
        <v>15</v>
      </c>
      <c r="H74" s="22">
        <v>15</v>
      </c>
      <c r="I74" s="22">
        <v>15</v>
      </c>
      <c r="J74" s="22">
        <v>15</v>
      </c>
      <c r="K74" s="22">
        <v>15</v>
      </c>
      <c r="L74" s="22">
        <v>15</v>
      </c>
      <c r="M74" s="22">
        <v>15</v>
      </c>
      <c r="N74" s="22">
        <v>15</v>
      </c>
      <c r="O74" s="22">
        <v>15</v>
      </c>
      <c r="P74" s="22">
        <v>15</v>
      </c>
      <c r="Q74" s="22">
        <v>15</v>
      </c>
      <c r="R74" s="22">
        <v>15</v>
      </c>
      <c r="S74" s="23"/>
    </row>
    <row r="75" spans="1:45" s="20" customFormat="1" x14ac:dyDescent="0.2">
      <c r="A75" s="21" t="s">
        <v>87</v>
      </c>
      <c r="B75" s="21" t="s">
        <v>88</v>
      </c>
      <c r="C75" s="21" t="s">
        <v>16</v>
      </c>
      <c r="D75" s="22">
        <v>7140.84</v>
      </c>
      <c r="E75" s="22">
        <f t="shared" si="18"/>
        <v>12241.44</v>
      </c>
      <c r="F75" s="22">
        <f t="shared" si="19"/>
        <v>12730.679999999998</v>
      </c>
      <c r="G75" s="22">
        <v>1060.8900000000001</v>
      </c>
      <c r="H75" s="22">
        <v>1060.8900000000001</v>
      </c>
      <c r="I75" s="22">
        <v>1060.8900000000001</v>
      </c>
      <c r="J75" s="22">
        <v>1060.8900000000001</v>
      </c>
      <c r="K75" s="22">
        <v>1060.8900000000001</v>
      </c>
      <c r="L75" s="22">
        <v>1060.8900000000001</v>
      </c>
      <c r="M75" s="22">
        <v>1060.8900000000001</v>
      </c>
      <c r="N75" s="22">
        <v>1060.8900000000001</v>
      </c>
      <c r="O75" s="22">
        <v>1060.8900000000001</v>
      </c>
      <c r="P75" s="22">
        <v>1060.8900000000001</v>
      </c>
      <c r="Q75" s="22">
        <v>1060.8900000000001</v>
      </c>
      <c r="R75" s="22">
        <v>1060.8900000000001</v>
      </c>
      <c r="S75" s="42"/>
    </row>
    <row r="76" spans="1:45" s="20" customFormat="1" x14ac:dyDescent="0.2">
      <c r="A76" s="21" t="s">
        <v>89</v>
      </c>
      <c r="B76" s="21" t="s">
        <v>90</v>
      </c>
      <c r="C76" s="21" t="s">
        <v>16</v>
      </c>
      <c r="D76" s="22">
        <v>2213.8000000000002</v>
      </c>
      <c r="E76" s="22">
        <f t="shared" si="18"/>
        <v>3795.0857142857144</v>
      </c>
      <c r="F76" s="22">
        <f t="shared" si="19"/>
        <v>500.04000000000013</v>
      </c>
      <c r="G76" s="22">
        <v>41.67</v>
      </c>
      <c r="H76" s="22">
        <v>41.67</v>
      </c>
      <c r="I76" s="22">
        <v>41.67</v>
      </c>
      <c r="J76" s="22">
        <v>41.67</v>
      </c>
      <c r="K76" s="22">
        <v>41.67</v>
      </c>
      <c r="L76" s="22">
        <v>41.67</v>
      </c>
      <c r="M76" s="22">
        <v>41.67</v>
      </c>
      <c r="N76" s="22">
        <v>41.67</v>
      </c>
      <c r="O76" s="22">
        <v>41.67</v>
      </c>
      <c r="P76" s="22">
        <v>41.67</v>
      </c>
      <c r="Q76" s="22">
        <v>41.67</v>
      </c>
      <c r="R76" s="22">
        <v>41.67</v>
      </c>
      <c r="S76" s="69" t="s">
        <v>239</v>
      </c>
    </row>
    <row r="77" spans="1:45" s="20" customFormat="1" x14ac:dyDescent="0.2">
      <c r="A77" s="21" t="s">
        <v>91</v>
      </c>
      <c r="B77" s="21" t="s">
        <v>92</v>
      </c>
      <c r="C77" s="21" t="s">
        <v>16</v>
      </c>
      <c r="D77" s="22">
        <v>623</v>
      </c>
      <c r="E77" s="22">
        <f t="shared" si="18"/>
        <v>1068</v>
      </c>
      <c r="F77" s="22">
        <f t="shared" si="19"/>
        <v>1638</v>
      </c>
      <c r="G77" s="22">
        <f>89+47.5</f>
        <v>136.5</v>
      </c>
      <c r="H77" s="22">
        <f t="shared" ref="H77:R77" si="21">89+47.5</f>
        <v>136.5</v>
      </c>
      <c r="I77" s="22">
        <f t="shared" si="21"/>
        <v>136.5</v>
      </c>
      <c r="J77" s="22">
        <f t="shared" si="21"/>
        <v>136.5</v>
      </c>
      <c r="K77" s="22">
        <f t="shared" si="21"/>
        <v>136.5</v>
      </c>
      <c r="L77" s="22">
        <f t="shared" si="21"/>
        <v>136.5</v>
      </c>
      <c r="M77" s="22">
        <f t="shared" si="21"/>
        <v>136.5</v>
      </c>
      <c r="N77" s="22">
        <f t="shared" si="21"/>
        <v>136.5</v>
      </c>
      <c r="O77" s="22">
        <f t="shared" si="21"/>
        <v>136.5</v>
      </c>
      <c r="P77" s="22">
        <f t="shared" si="21"/>
        <v>136.5</v>
      </c>
      <c r="Q77" s="22">
        <f t="shared" si="21"/>
        <v>136.5</v>
      </c>
      <c r="R77" s="22">
        <f t="shared" si="21"/>
        <v>136.5</v>
      </c>
      <c r="S77" s="65" t="s">
        <v>217</v>
      </c>
    </row>
    <row r="78" spans="1:45" s="20" customFormat="1" x14ac:dyDescent="0.2">
      <c r="A78" s="21" t="s">
        <v>93</v>
      </c>
      <c r="B78" s="21" t="s">
        <v>94</v>
      </c>
      <c r="C78" s="21" t="s">
        <v>16</v>
      </c>
      <c r="D78" s="22">
        <v>760</v>
      </c>
      <c r="E78" s="22">
        <f t="shared" si="18"/>
        <v>1302.8571428571429</v>
      </c>
      <c r="F78" s="22">
        <f t="shared" si="19"/>
        <v>1896.5</v>
      </c>
      <c r="G78" s="22">
        <v>0</v>
      </c>
      <c r="H78" s="26">
        <v>0</v>
      </c>
      <c r="I78" s="26">
        <v>0</v>
      </c>
      <c r="J78" s="26">
        <f>199.5+300</f>
        <v>499.5</v>
      </c>
      <c r="K78" s="26">
        <v>199.5</v>
      </c>
      <c r="L78" s="26">
        <v>199.5</v>
      </c>
      <c r="M78" s="26">
        <v>199.5</v>
      </c>
      <c r="N78" s="26">
        <v>199.5</v>
      </c>
      <c r="O78" s="26">
        <v>199.5</v>
      </c>
      <c r="P78" s="26">
        <v>199.5</v>
      </c>
      <c r="Q78" s="26">
        <v>200</v>
      </c>
      <c r="R78" s="26">
        <v>0</v>
      </c>
      <c r="S78" s="69" t="s">
        <v>199</v>
      </c>
    </row>
    <row r="79" spans="1:45" s="20" customFormat="1" x14ac:dyDescent="0.2">
      <c r="A79" s="21" t="s">
        <v>95</v>
      </c>
      <c r="B79" s="21" t="s">
        <v>96</v>
      </c>
      <c r="C79" s="21" t="s">
        <v>16</v>
      </c>
      <c r="D79" s="22">
        <v>13158.57</v>
      </c>
      <c r="E79" s="22">
        <f t="shared" si="18"/>
        <v>22557.548571428571</v>
      </c>
      <c r="F79" s="22">
        <f t="shared" si="19"/>
        <v>11309.400000000001</v>
      </c>
      <c r="G79" s="22">
        <v>942.45</v>
      </c>
      <c r="H79" s="22">
        <v>942.45</v>
      </c>
      <c r="I79" s="22">
        <v>942.45</v>
      </c>
      <c r="J79" s="22">
        <v>942.45</v>
      </c>
      <c r="K79" s="22">
        <v>942.45</v>
      </c>
      <c r="L79" s="22">
        <v>942.45</v>
      </c>
      <c r="M79" s="22">
        <v>942.45</v>
      </c>
      <c r="N79" s="22">
        <v>942.45</v>
      </c>
      <c r="O79" s="22">
        <v>942.45</v>
      </c>
      <c r="P79" s="22">
        <v>942.45</v>
      </c>
      <c r="Q79" s="22">
        <v>942.45</v>
      </c>
      <c r="R79" s="22">
        <v>942.45</v>
      </c>
      <c r="S79" s="69" t="s">
        <v>240</v>
      </c>
    </row>
    <row r="80" spans="1:45" s="20" customFormat="1" x14ac:dyDescent="0.2">
      <c r="A80" s="21" t="s">
        <v>97</v>
      </c>
      <c r="B80" s="21" t="s">
        <v>98</v>
      </c>
      <c r="C80" s="21" t="s">
        <v>16</v>
      </c>
      <c r="D80" s="22">
        <v>1853</v>
      </c>
      <c r="E80" s="22">
        <f t="shared" si="18"/>
        <v>3176.5714285714284</v>
      </c>
      <c r="F80" s="22">
        <f t="shared" si="19"/>
        <v>3399</v>
      </c>
      <c r="G80" s="22">
        <v>283.25</v>
      </c>
      <c r="H80" s="22">
        <v>283.25</v>
      </c>
      <c r="I80" s="22">
        <v>283.25</v>
      </c>
      <c r="J80" s="22">
        <v>283.25</v>
      </c>
      <c r="K80" s="22">
        <v>283.25</v>
      </c>
      <c r="L80" s="22">
        <v>283.25</v>
      </c>
      <c r="M80" s="22">
        <v>283.25</v>
      </c>
      <c r="N80" s="22">
        <v>283.25</v>
      </c>
      <c r="O80" s="22">
        <v>283.25</v>
      </c>
      <c r="P80" s="22">
        <v>283.25</v>
      </c>
      <c r="Q80" s="22">
        <v>283.25</v>
      </c>
      <c r="R80" s="22">
        <v>283.25</v>
      </c>
      <c r="S80" s="69" t="s">
        <v>206</v>
      </c>
    </row>
    <row r="81" spans="1:45" s="20" customFormat="1" x14ac:dyDescent="0.2">
      <c r="A81" s="21" t="s">
        <v>99</v>
      </c>
      <c r="B81" s="21" t="s">
        <v>100</v>
      </c>
      <c r="C81" s="21" t="s">
        <v>16</v>
      </c>
      <c r="D81" s="22">
        <v>5617.26</v>
      </c>
      <c r="E81" s="22">
        <f t="shared" si="18"/>
        <v>9629.5885714285723</v>
      </c>
      <c r="F81" s="22">
        <f t="shared" si="19"/>
        <v>9605.0399999999991</v>
      </c>
      <c r="G81" s="22">
        <v>800.42</v>
      </c>
      <c r="H81" s="22">
        <v>800.42</v>
      </c>
      <c r="I81" s="22">
        <v>800.42</v>
      </c>
      <c r="J81" s="22">
        <v>800.42</v>
      </c>
      <c r="K81" s="22">
        <v>800.42</v>
      </c>
      <c r="L81" s="22">
        <v>800.42</v>
      </c>
      <c r="M81" s="22">
        <v>800.42</v>
      </c>
      <c r="N81" s="22">
        <v>800.42</v>
      </c>
      <c r="O81" s="22">
        <v>800.42</v>
      </c>
      <c r="P81" s="22">
        <v>800.42</v>
      </c>
      <c r="Q81" s="22">
        <v>800.42</v>
      </c>
      <c r="R81" s="22">
        <v>800.42</v>
      </c>
      <c r="S81" s="69"/>
    </row>
    <row r="82" spans="1:45" s="20" customFormat="1" x14ac:dyDescent="0.2">
      <c r="A82" s="21" t="s">
        <v>187</v>
      </c>
      <c r="B82" s="21" t="s">
        <v>188</v>
      </c>
      <c r="C82" s="21" t="s">
        <v>16</v>
      </c>
      <c r="D82" s="22">
        <v>4365.72</v>
      </c>
      <c r="E82" s="22">
        <f t="shared" si="18"/>
        <v>7484.091428571428</v>
      </c>
      <c r="F82" s="22">
        <f t="shared" si="19"/>
        <v>7475.6</v>
      </c>
      <c r="G82" s="22">
        <f>1498.9+90</f>
        <v>1588.9</v>
      </c>
      <c r="H82" s="26">
        <v>90</v>
      </c>
      <c r="I82" s="26">
        <v>90</v>
      </c>
      <c r="J82" s="22">
        <f>1498.9+90</f>
        <v>1588.9</v>
      </c>
      <c r="K82" s="26">
        <v>90</v>
      </c>
      <c r="L82" s="26">
        <v>90</v>
      </c>
      <c r="M82" s="22">
        <f>1498.9+90</f>
        <v>1588.9</v>
      </c>
      <c r="N82" s="26">
        <v>90</v>
      </c>
      <c r="O82" s="26">
        <v>90</v>
      </c>
      <c r="P82" s="22">
        <f>1498.9+90</f>
        <v>1588.9</v>
      </c>
      <c r="Q82" s="26">
        <f>90+370</f>
        <v>460</v>
      </c>
      <c r="R82" s="26">
        <f>90+30</f>
        <v>120</v>
      </c>
      <c r="S82" s="69" t="s">
        <v>204</v>
      </c>
    </row>
    <row r="83" spans="1:45" s="24" customFormat="1" x14ac:dyDescent="0.2">
      <c r="A83" s="21" t="s">
        <v>154</v>
      </c>
      <c r="B83" s="21" t="s">
        <v>171</v>
      </c>
      <c r="C83" s="21" t="s">
        <v>16</v>
      </c>
      <c r="D83" s="22">
        <v>61.49</v>
      </c>
      <c r="E83" s="22">
        <f t="shared" si="18"/>
        <v>105.41142857142856</v>
      </c>
      <c r="F83" s="22">
        <f t="shared" si="19"/>
        <v>683.99999999999989</v>
      </c>
      <c r="G83" s="22">
        <v>0</v>
      </c>
      <c r="H83" s="26">
        <v>0</v>
      </c>
      <c r="I83" s="26">
        <v>0</v>
      </c>
      <c r="J83" s="26">
        <v>0</v>
      </c>
      <c r="K83" s="26">
        <f>432+50.4</f>
        <v>482.4</v>
      </c>
      <c r="L83" s="26">
        <v>50.4</v>
      </c>
      <c r="M83" s="26">
        <v>50.4</v>
      </c>
      <c r="N83" s="26">
        <v>50.4</v>
      </c>
      <c r="O83" s="26">
        <v>50.4</v>
      </c>
      <c r="P83" s="26">
        <v>0</v>
      </c>
      <c r="Q83" s="26">
        <v>0</v>
      </c>
      <c r="R83" s="26">
        <v>0</v>
      </c>
      <c r="S83" s="42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45" s="20" customFormat="1" x14ac:dyDescent="0.2">
      <c r="A84" s="21" t="s">
        <v>101</v>
      </c>
      <c r="B84" s="21" t="s">
        <v>102</v>
      </c>
      <c r="C84" s="21" t="s">
        <v>16</v>
      </c>
      <c r="D84" s="22">
        <v>1778.85</v>
      </c>
      <c r="E84" s="22">
        <f t="shared" si="18"/>
        <v>3049.4571428571426</v>
      </c>
      <c r="F84" s="22">
        <f t="shared" si="19"/>
        <v>3593.52</v>
      </c>
      <c r="G84" s="22">
        <v>299.45999999999998</v>
      </c>
      <c r="H84" s="22">
        <v>299.45999999999998</v>
      </c>
      <c r="I84" s="22">
        <v>299.45999999999998</v>
      </c>
      <c r="J84" s="22">
        <v>299.45999999999998</v>
      </c>
      <c r="K84" s="22">
        <v>299.45999999999998</v>
      </c>
      <c r="L84" s="22">
        <v>299.45999999999998</v>
      </c>
      <c r="M84" s="22">
        <v>299.45999999999998</v>
      </c>
      <c r="N84" s="22">
        <v>299.45999999999998</v>
      </c>
      <c r="O84" s="22">
        <v>299.45999999999998</v>
      </c>
      <c r="P84" s="22">
        <v>299.45999999999998</v>
      </c>
      <c r="Q84" s="22">
        <v>299.45999999999998</v>
      </c>
      <c r="R84" s="22">
        <v>299.45999999999998</v>
      </c>
      <c r="S84" s="50" t="s">
        <v>203</v>
      </c>
    </row>
    <row r="85" spans="1:45" s="25" customFormat="1" ht="12" customHeight="1" x14ac:dyDescent="0.2">
      <c r="A85" s="21" t="s">
        <v>103</v>
      </c>
      <c r="B85" s="21" t="s">
        <v>104</v>
      </c>
      <c r="C85" s="21" t="s">
        <v>16</v>
      </c>
      <c r="D85" s="22">
        <v>0</v>
      </c>
      <c r="E85" s="22">
        <f t="shared" si="18"/>
        <v>0</v>
      </c>
      <c r="F85" s="22">
        <f t="shared" si="19"/>
        <v>431</v>
      </c>
      <c r="G85" s="22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431</v>
      </c>
      <c r="R85" s="26">
        <v>0</v>
      </c>
      <c r="S85" s="50" t="s">
        <v>205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4"/>
      <c r="AS85" s="24"/>
    </row>
    <row r="86" spans="1:45" s="20" customFormat="1" x14ac:dyDescent="0.2">
      <c r="A86" s="21" t="s">
        <v>105</v>
      </c>
      <c r="B86" s="21" t="s">
        <v>106</v>
      </c>
      <c r="C86" s="21" t="s">
        <v>16</v>
      </c>
      <c r="D86" s="22">
        <v>9087.76</v>
      </c>
      <c r="E86" s="22">
        <f t="shared" si="18"/>
        <v>15579.017142857141</v>
      </c>
      <c r="F86" s="22">
        <f t="shared" si="19"/>
        <v>16740</v>
      </c>
      <c r="G86" s="22">
        <v>1395</v>
      </c>
      <c r="H86" s="22">
        <v>1395</v>
      </c>
      <c r="I86" s="22">
        <v>1395</v>
      </c>
      <c r="J86" s="22">
        <v>1395</v>
      </c>
      <c r="K86" s="22">
        <v>1395</v>
      </c>
      <c r="L86" s="22">
        <v>1395</v>
      </c>
      <c r="M86" s="22">
        <v>1395</v>
      </c>
      <c r="N86" s="22">
        <v>1395</v>
      </c>
      <c r="O86" s="22">
        <v>1395</v>
      </c>
      <c r="P86" s="22">
        <v>1395</v>
      </c>
      <c r="Q86" s="22">
        <v>1395</v>
      </c>
      <c r="R86" s="22">
        <v>1395</v>
      </c>
      <c r="S86" s="48"/>
    </row>
    <row r="87" spans="1:45" s="20" customFormat="1" x14ac:dyDescent="0.2">
      <c r="A87" s="21" t="s">
        <v>107</v>
      </c>
      <c r="B87" s="21" t="s">
        <v>108</v>
      </c>
      <c r="C87" s="21" t="s">
        <v>16</v>
      </c>
      <c r="D87" s="22">
        <v>2667.5</v>
      </c>
      <c r="E87" s="22">
        <f t="shared" si="18"/>
        <v>4572.8571428571431</v>
      </c>
      <c r="F87" s="22">
        <f t="shared" si="19"/>
        <v>4700</v>
      </c>
      <c r="G87" s="22">
        <v>900</v>
      </c>
      <c r="H87" s="26">
        <v>1100</v>
      </c>
      <c r="I87" s="26">
        <v>500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500</v>
      </c>
      <c r="Q87" s="26">
        <v>800</v>
      </c>
      <c r="R87" s="26">
        <v>900</v>
      </c>
      <c r="S87" s="42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Q87" s="24"/>
      <c r="AR87" s="25"/>
      <c r="AS87" s="25"/>
    </row>
    <row r="88" spans="1:45" s="20" customFormat="1" x14ac:dyDescent="0.2">
      <c r="A88" s="21" t="s">
        <v>109</v>
      </c>
      <c r="B88" s="21" t="s">
        <v>110</v>
      </c>
      <c r="C88" s="21" t="s">
        <v>16</v>
      </c>
      <c r="D88" s="22">
        <v>297.5</v>
      </c>
      <c r="E88" s="22">
        <f t="shared" si="18"/>
        <v>510</v>
      </c>
      <c r="F88" s="22">
        <f t="shared" si="19"/>
        <v>510</v>
      </c>
      <c r="G88" s="22">
        <v>42.5</v>
      </c>
      <c r="H88" s="22">
        <v>42.5</v>
      </c>
      <c r="I88" s="22">
        <v>42.5</v>
      </c>
      <c r="J88" s="22">
        <v>42.5</v>
      </c>
      <c r="K88" s="22">
        <v>42.5</v>
      </c>
      <c r="L88" s="22">
        <v>42.5</v>
      </c>
      <c r="M88" s="22">
        <v>42.5</v>
      </c>
      <c r="N88" s="22">
        <v>42.5</v>
      </c>
      <c r="O88" s="22">
        <v>42.5</v>
      </c>
      <c r="P88" s="22">
        <v>42.5</v>
      </c>
      <c r="Q88" s="22">
        <v>42.5</v>
      </c>
      <c r="R88" s="22">
        <v>42.5</v>
      </c>
      <c r="S88" s="71"/>
      <c r="X88" s="24"/>
      <c r="Y88" s="24"/>
      <c r="Z88" s="24"/>
      <c r="AA88" s="24"/>
      <c r="AB88" s="24"/>
      <c r="AP88" s="24"/>
    </row>
    <row r="89" spans="1:45" s="20" customFormat="1" ht="13.5" thickBot="1" x14ac:dyDescent="0.25">
      <c r="A89" s="21" t="s">
        <v>111</v>
      </c>
      <c r="B89" s="21" t="s">
        <v>112</v>
      </c>
      <c r="C89" s="21" t="s">
        <v>16</v>
      </c>
      <c r="D89" s="22">
        <v>982.44</v>
      </c>
      <c r="E89" s="22">
        <f t="shared" si="18"/>
        <v>1684.1828571428573</v>
      </c>
      <c r="F89" s="22">
        <f t="shared" si="19"/>
        <v>1692</v>
      </c>
      <c r="G89" s="22">
        <v>141</v>
      </c>
      <c r="H89" s="22">
        <v>141</v>
      </c>
      <c r="I89" s="22">
        <v>141</v>
      </c>
      <c r="J89" s="22">
        <v>141</v>
      </c>
      <c r="K89" s="22">
        <v>141</v>
      </c>
      <c r="L89" s="22">
        <v>141</v>
      </c>
      <c r="M89" s="22">
        <v>141</v>
      </c>
      <c r="N89" s="22">
        <v>141</v>
      </c>
      <c r="O89" s="22">
        <v>141</v>
      </c>
      <c r="P89" s="22">
        <v>141</v>
      </c>
      <c r="Q89" s="22">
        <v>141</v>
      </c>
      <c r="R89" s="22">
        <v>141</v>
      </c>
      <c r="S89" s="48" t="s">
        <v>192</v>
      </c>
      <c r="T89" s="24"/>
      <c r="U89" s="24"/>
      <c r="V89" s="24"/>
      <c r="W89" s="24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Q89" s="25"/>
    </row>
    <row r="90" spans="1:45" s="20" customFormat="1" x14ac:dyDescent="0.2">
      <c r="A90" s="54"/>
      <c r="B90" s="54" t="s">
        <v>113</v>
      </c>
      <c r="C90" s="54" t="s">
        <v>16</v>
      </c>
      <c r="D90" s="29">
        <f>SUM(D73:D89)</f>
        <v>71821.16</v>
      </c>
      <c r="E90" s="29">
        <f t="shared" ref="E90" si="22">SUM(E73:E89)</f>
        <v>123121.98857142858</v>
      </c>
      <c r="F90" s="29">
        <f>SUM(F73:F89)</f>
        <v>123006.74000000002</v>
      </c>
      <c r="G90" s="29">
        <f>SUM(G73:G89)</f>
        <v>11291.619999999999</v>
      </c>
      <c r="H90" s="29">
        <f t="shared" ref="H90:R90" si="23">SUM(H73:H89)</f>
        <v>9992.7200000000012</v>
      </c>
      <c r="I90" s="29">
        <f t="shared" si="23"/>
        <v>9392.7200000000012</v>
      </c>
      <c r="J90" s="29">
        <f t="shared" si="23"/>
        <v>10891.119999999999</v>
      </c>
      <c r="K90" s="29">
        <f t="shared" si="23"/>
        <v>9574.619999999999</v>
      </c>
      <c r="L90" s="29">
        <f t="shared" si="23"/>
        <v>9142.619999999999</v>
      </c>
      <c r="M90" s="29">
        <f t="shared" si="23"/>
        <v>10641.519999999999</v>
      </c>
      <c r="N90" s="29">
        <f t="shared" si="23"/>
        <v>9142.619999999999</v>
      </c>
      <c r="O90" s="29">
        <f t="shared" si="23"/>
        <v>9142.619999999999</v>
      </c>
      <c r="P90" s="29">
        <f t="shared" si="23"/>
        <v>11091.119999999999</v>
      </c>
      <c r="Q90" s="29">
        <f t="shared" si="23"/>
        <v>10693.720000000001</v>
      </c>
      <c r="R90" s="29">
        <f t="shared" si="23"/>
        <v>12009.72</v>
      </c>
      <c r="S90" s="42"/>
      <c r="X90" s="25"/>
      <c r="Y90" s="25"/>
      <c r="Z90" s="25"/>
      <c r="AA90" s="25"/>
      <c r="AB90" s="25"/>
      <c r="AP90" s="25"/>
    </row>
    <row r="91" spans="1:45" s="24" customFormat="1" x14ac:dyDescent="0.2">
      <c r="A91" s="21"/>
      <c r="B91" s="21"/>
      <c r="C91" s="21"/>
      <c r="D91" s="26"/>
      <c r="E91" s="22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56"/>
      <c r="T91" s="25"/>
      <c r="U91" s="25"/>
      <c r="V91" s="25"/>
      <c r="W91" s="2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45" s="20" customFormat="1" x14ac:dyDescent="0.2">
      <c r="A92" s="28"/>
      <c r="B92" s="28" t="s">
        <v>146</v>
      </c>
      <c r="C92" s="28"/>
      <c r="D92" s="32"/>
      <c r="E92" s="37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42"/>
    </row>
    <row r="93" spans="1:45" s="24" customFormat="1" x14ac:dyDescent="0.2">
      <c r="A93" s="21" t="s">
        <v>173</v>
      </c>
      <c r="B93" s="21" t="s">
        <v>172</v>
      </c>
      <c r="C93" s="28"/>
      <c r="D93" s="26">
        <v>0</v>
      </c>
      <c r="E93" s="22">
        <f t="shared" ref="E93:E98" si="24">D93/7*12</f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4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</row>
    <row r="94" spans="1:45" s="20" customFormat="1" x14ac:dyDescent="0.2">
      <c r="A94" s="21" t="s">
        <v>114</v>
      </c>
      <c r="B94" s="21" t="s">
        <v>115</v>
      </c>
      <c r="C94" s="21" t="s">
        <v>16</v>
      </c>
      <c r="D94" s="22">
        <v>4067.24</v>
      </c>
      <c r="E94" s="22">
        <f t="shared" si="24"/>
        <v>6972.4114285714286</v>
      </c>
      <c r="F94" s="22">
        <f t="shared" ref="F94:F99" si="25">SUM(G94:R94)</f>
        <v>7489.9588399999984</v>
      </c>
      <c r="G94" s="22">
        <f>(G49+G52+G73)*0.1365</f>
        <v>861.5306700000001</v>
      </c>
      <c r="H94" s="22">
        <f t="shared" ref="H94:J94" si="26">(H49+H52+H73)*0.1365</f>
        <v>861.5306700000001</v>
      </c>
      <c r="I94" s="22">
        <f t="shared" si="26"/>
        <v>861.5306700000001</v>
      </c>
      <c r="J94" s="22">
        <f t="shared" si="26"/>
        <v>861.5306700000001</v>
      </c>
      <c r="K94" s="22">
        <f>(K49+K52+K73)*0.0745</f>
        <v>470.21270999999996</v>
      </c>
      <c r="L94" s="22">
        <f t="shared" ref="L94:R94" si="27">(L49+L52+L73)*0.0745</f>
        <v>470.21270999999996</v>
      </c>
      <c r="M94" s="22">
        <f t="shared" si="27"/>
        <v>470.21270999999996</v>
      </c>
      <c r="N94" s="22">
        <f t="shared" si="27"/>
        <v>470.21270999999996</v>
      </c>
      <c r="O94" s="22">
        <f t="shared" si="27"/>
        <v>470.21270999999996</v>
      </c>
      <c r="P94" s="22">
        <f t="shared" si="27"/>
        <v>470.21270999999996</v>
      </c>
      <c r="Q94" s="22">
        <f t="shared" si="27"/>
        <v>470.21270999999996</v>
      </c>
      <c r="R94" s="22">
        <f t="shared" si="27"/>
        <v>752.34718999999984</v>
      </c>
      <c r="S94" s="66" t="s">
        <v>207</v>
      </c>
    </row>
    <row r="95" spans="1:45" s="20" customFormat="1" x14ac:dyDescent="0.2">
      <c r="A95" s="21" t="s">
        <v>223</v>
      </c>
      <c r="B95" s="21" t="s">
        <v>198</v>
      </c>
      <c r="C95" s="21"/>
      <c r="D95" s="22">
        <v>396.25</v>
      </c>
      <c r="E95" s="22">
        <v>396</v>
      </c>
      <c r="F95" s="22">
        <f t="shared" si="25"/>
        <v>398</v>
      </c>
      <c r="G95" s="22">
        <v>0</v>
      </c>
      <c r="H95" s="26">
        <v>0</v>
      </c>
      <c r="I95" s="26">
        <v>398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66"/>
    </row>
    <row r="96" spans="1:45" s="24" customFormat="1" x14ac:dyDescent="0.2">
      <c r="A96" s="21" t="s">
        <v>116</v>
      </c>
      <c r="B96" s="21" t="s">
        <v>117</v>
      </c>
      <c r="C96" s="21" t="s">
        <v>16</v>
      </c>
      <c r="D96" s="22">
        <v>10303.51</v>
      </c>
      <c r="E96" s="22">
        <f t="shared" si="24"/>
        <v>17663.16</v>
      </c>
      <c r="F96" s="22">
        <f t="shared" si="25"/>
        <v>18984</v>
      </c>
      <c r="G96" s="52">
        <f>1472+110</f>
        <v>1582</v>
      </c>
      <c r="H96" s="52">
        <f t="shared" ref="H96:R96" si="28">1472+110</f>
        <v>1582</v>
      </c>
      <c r="I96" s="52">
        <f t="shared" si="28"/>
        <v>1582</v>
      </c>
      <c r="J96" s="52">
        <f t="shared" si="28"/>
        <v>1582</v>
      </c>
      <c r="K96" s="52">
        <f t="shared" si="28"/>
        <v>1582</v>
      </c>
      <c r="L96" s="52">
        <f t="shared" si="28"/>
        <v>1582</v>
      </c>
      <c r="M96" s="52">
        <f t="shared" si="28"/>
        <v>1582</v>
      </c>
      <c r="N96" s="52">
        <f t="shared" si="28"/>
        <v>1582</v>
      </c>
      <c r="O96" s="52">
        <f t="shared" si="28"/>
        <v>1582</v>
      </c>
      <c r="P96" s="52">
        <f t="shared" si="28"/>
        <v>1582</v>
      </c>
      <c r="Q96" s="52">
        <f t="shared" si="28"/>
        <v>1582</v>
      </c>
      <c r="R96" s="52">
        <f t="shared" si="28"/>
        <v>1582</v>
      </c>
      <c r="S96" s="4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P96" s="20"/>
    </row>
    <row r="97" spans="1:45" s="20" customFormat="1" x14ac:dyDescent="0.2">
      <c r="A97" s="21" t="s">
        <v>118</v>
      </c>
      <c r="B97" s="21" t="s">
        <v>119</v>
      </c>
      <c r="C97" s="21" t="s">
        <v>16</v>
      </c>
      <c r="D97" s="22">
        <v>987.72</v>
      </c>
      <c r="E97" s="22">
        <f t="shared" si="24"/>
        <v>1693.2342857142858</v>
      </c>
      <c r="F97" s="22">
        <f t="shared" si="25"/>
        <v>2043.4404920000006</v>
      </c>
      <c r="G97" s="22">
        <f>((G49+G52)*0.0097)+G73*0.0374</f>
        <v>162.17719200000002</v>
      </c>
      <c r="H97" s="22">
        <f t="shared" ref="H97:R97" si="29">((H49+H52)*0.0097)+H73*0.0374</f>
        <v>162.17719200000002</v>
      </c>
      <c r="I97" s="22">
        <f t="shared" si="29"/>
        <v>162.17719200000002</v>
      </c>
      <c r="J97" s="22">
        <f t="shared" si="29"/>
        <v>162.17719200000002</v>
      </c>
      <c r="K97" s="22">
        <f t="shared" si="29"/>
        <v>162.17719200000002</v>
      </c>
      <c r="L97" s="22">
        <f t="shared" si="29"/>
        <v>162.17719200000002</v>
      </c>
      <c r="M97" s="22">
        <f t="shared" si="29"/>
        <v>162.17719200000002</v>
      </c>
      <c r="N97" s="22">
        <f t="shared" si="29"/>
        <v>162.17719200000002</v>
      </c>
      <c r="O97" s="22">
        <f t="shared" si="29"/>
        <v>162.17719200000002</v>
      </c>
      <c r="P97" s="22">
        <f t="shared" si="29"/>
        <v>162.17719200000002</v>
      </c>
      <c r="Q97" s="22">
        <f t="shared" si="29"/>
        <v>162.17719200000002</v>
      </c>
      <c r="R97" s="22">
        <f t="shared" si="29"/>
        <v>259.49138000000005</v>
      </c>
      <c r="S97" s="71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P97" s="24"/>
    </row>
    <row r="98" spans="1:45" s="51" customFormat="1" x14ac:dyDescent="0.2">
      <c r="A98" s="21" t="s">
        <v>120</v>
      </c>
      <c r="B98" s="21" t="s">
        <v>121</v>
      </c>
      <c r="C98" s="21" t="s">
        <v>16</v>
      </c>
      <c r="D98" s="22">
        <v>6266.98</v>
      </c>
      <c r="E98" s="22">
        <f t="shared" si="24"/>
        <v>10743.394285714285</v>
      </c>
      <c r="F98" s="22">
        <f t="shared" si="25"/>
        <v>9873.5999999999985</v>
      </c>
      <c r="G98" s="52">
        <v>822.8</v>
      </c>
      <c r="H98" s="52">
        <v>822.8</v>
      </c>
      <c r="I98" s="52">
        <v>822.8</v>
      </c>
      <c r="J98" s="52">
        <v>822.8</v>
      </c>
      <c r="K98" s="52">
        <v>822.8</v>
      </c>
      <c r="L98" s="52">
        <v>822.8</v>
      </c>
      <c r="M98" s="52">
        <v>822.8</v>
      </c>
      <c r="N98" s="52">
        <v>822.8</v>
      </c>
      <c r="O98" s="52">
        <v>822.8</v>
      </c>
      <c r="P98" s="52">
        <v>822.8</v>
      </c>
      <c r="Q98" s="52">
        <v>822.8</v>
      </c>
      <c r="R98" s="52">
        <v>822.8</v>
      </c>
      <c r="S98" s="67" t="s">
        <v>208</v>
      </c>
      <c r="T98" s="20"/>
      <c r="U98" s="20"/>
      <c r="V98" s="20"/>
      <c r="W98" s="20"/>
      <c r="X98" s="24"/>
      <c r="Y98" s="24"/>
      <c r="Z98" s="24"/>
      <c r="AA98" s="24"/>
      <c r="AB98" s="24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4"/>
      <c r="AO98" s="24"/>
      <c r="AP98" s="20"/>
      <c r="AQ98" s="24"/>
      <c r="AR98" s="24"/>
      <c r="AS98" s="24"/>
    </row>
    <row r="99" spans="1:45" s="20" customFormat="1" ht="13.5" thickBot="1" x14ac:dyDescent="0.25">
      <c r="A99" s="21" t="s">
        <v>122</v>
      </c>
      <c r="B99" s="21" t="s">
        <v>123</v>
      </c>
      <c r="C99" s="21" t="s">
        <v>16</v>
      </c>
      <c r="D99" s="22">
        <v>213.02</v>
      </c>
      <c r="E99" s="22">
        <v>353</v>
      </c>
      <c r="F99" s="22">
        <f t="shared" si="25"/>
        <v>150</v>
      </c>
      <c r="G99" s="22">
        <v>0</v>
      </c>
      <c r="H99" s="26">
        <v>0</v>
      </c>
      <c r="I99" s="26">
        <v>150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49" t="s">
        <v>197</v>
      </c>
      <c r="T99" s="77"/>
      <c r="U99" s="24"/>
      <c r="V99" s="24"/>
      <c r="W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P99" s="24"/>
    </row>
    <row r="100" spans="1:45" s="20" customFormat="1" x14ac:dyDescent="0.2">
      <c r="A100" s="54"/>
      <c r="B100" s="54" t="s">
        <v>124</v>
      </c>
      <c r="C100" s="54" t="s">
        <v>16</v>
      </c>
      <c r="D100" s="29">
        <f>SUM(D93:D99)</f>
        <v>22234.719999999998</v>
      </c>
      <c r="E100" s="29">
        <f t="shared" ref="E100:R100" si="30">SUM(E93:E99)</f>
        <v>37821.199999999997</v>
      </c>
      <c r="F100" s="29">
        <f t="shared" si="30"/>
        <v>38938.999331999999</v>
      </c>
      <c r="G100" s="29">
        <f t="shared" si="30"/>
        <v>3428.5078620000004</v>
      </c>
      <c r="H100" s="29">
        <f t="shared" si="30"/>
        <v>3428.5078620000004</v>
      </c>
      <c r="I100" s="29">
        <f t="shared" si="30"/>
        <v>3976.5078620000004</v>
      </c>
      <c r="J100" s="29">
        <f t="shared" si="30"/>
        <v>3428.5078620000004</v>
      </c>
      <c r="K100" s="29">
        <f t="shared" si="30"/>
        <v>3037.1899020000001</v>
      </c>
      <c r="L100" s="29">
        <f t="shared" si="30"/>
        <v>3037.1899020000001</v>
      </c>
      <c r="M100" s="29">
        <f t="shared" si="30"/>
        <v>3037.1899020000001</v>
      </c>
      <c r="N100" s="29">
        <f t="shared" si="30"/>
        <v>3037.1899020000001</v>
      </c>
      <c r="O100" s="29">
        <f t="shared" si="30"/>
        <v>3037.1899020000001</v>
      </c>
      <c r="P100" s="29">
        <f t="shared" si="30"/>
        <v>3037.1899020000001</v>
      </c>
      <c r="Q100" s="29">
        <f t="shared" si="30"/>
        <v>3037.1899020000001</v>
      </c>
      <c r="R100" s="29">
        <f t="shared" si="30"/>
        <v>3416.6385700000001</v>
      </c>
      <c r="S100" s="71"/>
      <c r="T100" s="65"/>
      <c r="X100" s="24"/>
      <c r="Y100" s="24"/>
      <c r="Z100" s="24"/>
      <c r="AA100" s="24"/>
      <c r="AB100" s="24"/>
      <c r="AN100" s="24"/>
      <c r="AO100" s="24"/>
      <c r="AQ100" s="24"/>
      <c r="AR100" s="51"/>
      <c r="AS100" s="51"/>
    </row>
    <row r="101" spans="1:45" s="20" customFormat="1" ht="13.5" thickBot="1" x14ac:dyDescent="0.25">
      <c r="A101" s="55"/>
      <c r="B101" s="55"/>
      <c r="C101" s="55"/>
      <c r="D101" s="30"/>
      <c r="E101" s="22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72"/>
      <c r="T101" s="34"/>
      <c r="U101" s="24"/>
      <c r="V101" s="24"/>
      <c r="W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P101" s="24"/>
    </row>
    <row r="102" spans="1:45" s="20" customFormat="1" x14ac:dyDescent="0.2">
      <c r="A102" s="54"/>
      <c r="B102" s="54" t="s">
        <v>125</v>
      </c>
      <c r="C102" s="54" t="s">
        <v>16</v>
      </c>
      <c r="D102" s="29">
        <f>D63+D70+D90+D100</f>
        <v>178564.23</v>
      </c>
      <c r="E102" s="29">
        <f t="shared" ref="E102:R102" si="31">E63+E70+E90+E100</f>
        <v>305078.78857142857</v>
      </c>
      <c r="F102" s="29">
        <f t="shared" si="31"/>
        <v>323130.53959719994</v>
      </c>
      <c r="G102" s="29">
        <f t="shared" si="31"/>
        <v>29651.7594321</v>
      </c>
      <c r="H102" s="29">
        <f t="shared" si="31"/>
        <v>24704.966932100004</v>
      </c>
      <c r="I102" s="29">
        <f t="shared" si="31"/>
        <v>31267.266932099999</v>
      </c>
      <c r="J102" s="29">
        <f t="shared" si="31"/>
        <v>25326.173182099999</v>
      </c>
      <c r="K102" s="29">
        <f t="shared" si="31"/>
        <v>28422.019433299996</v>
      </c>
      <c r="L102" s="29">
        <f t="shared" si="31"/>
        <v>22344.064433299995</v>
      </c>
      <c r="M102" s="29">
        <f t="shared" si="31"/>
        <v>29729.319433299999</v>
      </c>
      <c r="N102" s="29">
        <f t="shared" si="31"/>
        <v>22149.6556833</v>
      </c>
      <c r="O102" s="29">
        <f t="shared" si="31"/>
        <v>27031.108183299999</v>
      </c>
      <c r="P102" s="29">
        <f t="shared" si="31"/>
        <v>23783.0619333</v>
      </c>
      <c r="Q102" s="29">
        <f t="shared" si="31"/>
        <v>28165.961933300001</v>
      </c>
      <c r="R102" s="29">
        <f t="shared" si="31"/>
        <v>30555.182085699998</v>
      </c>
      <c r="S102" s="71"/>
      <c r="T102" s="65"/>
      <c r="X102" s="24"/>
      <c r="Y102" s="24"/>
      <c r="Z102" s="24"/>
      <c r="AA102" s="24"/>
      <c r="AB102" s="24"/>
      <c r="AN102" s="51"/>
      <c r="AO102" s="51"/>
      <c r="AQ102" s="51"/>
    </row>
    <row r="103" spans="1:45" s="20" customFormat="1" ht="13.5" thickBot="1" x14ac:dyDescent="0.25">
      <c r="A103" s="55"/>
      <c r="B103" s="55"/>
      <c r="C103" s="55"/>
      <c r="D103" s="30"/>
      <c r="E103" s="22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73"/>
      <c r="T103" s="77"/>
      <c r="U103" s="24"/>
      <c r="V103" s="24"/>
      <c r="W103" s="24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P103" s="51"/>
    </row>
    <row r="104" spans="1:45" s="24" customFormat="1" x14ac:dyDescent="0.2">
      <c r="A104" s="54"/>
      <c r="B104" s="54" t="s">
        <v>126</v>
      </c>
      <c r="C104" s="54" t="s">
        <v>16</v>
      </c>
      <c r="D104" s="29">
        <f t="shared" ref="D104:R104" si="32">D38-D102</f>
        <v>106857.13999999998</v>
      </c>
      <c r="E104" s="29">
        <f t="shared" si="32"/>
        <v>184214.98857142858</v>
      </c>
      <c r="F104" s="29">
        <f t="shared" si="32"/>
        <v>187458.6904028001</v>
      </c>
      <c r="G104" s="29">
        <f t="shared" si="32"/>
        <v>12870.405567899994</v>
      </c>
      <c r="H104" s="29">
        <f t="shared" si="32"/>
        <v>17759.748067899993</v>
      </c>
      <c r="I104" s="29">
        <f t="shared" si="32"/>
        <v>11184.848067900006</v>
      </c>
      <c r="J104" s="29">
        <f t="shared" si="32"/>
        <v>17160.066817900006</v>
      </c>
      <c r="K104" s="29">
        <f t="shared" si="32"/>
        <v>14092.495566700003</v>
      </c>
      <c r="L104" s="29">
        <f t="shared" si="32"/>
        <v>20301.150566700002</v>
      </c>
      <c r="M104" s="29">
        <f t="shared" si="32"/>
        <v>12664.395566699997</v>
      </c>
      <c r="N104" s="29">
        <f t="shared" si="32"/>
        <v>20194.384316699994</v>
      </c>
      <c r="O104" s="29">
        <f t="shared" si="32"/>
        <v>15404.581816700003</v>
      </c>
      <c r="P104" s="29">
        <f t="shared" si="32"/>
        <v>18875.903066699997</v>
      </c>
      <c r="Q104" s="29">
        <f t="shared" si="32"/>
        <v>14586.603066700001</v>
      </c>
      <c r="R104" s="29">
        <f t="shared" si="32"/>
        <v>12364.107914299995</v>
      </c>
      <c r="S104" s="71"/>
      <c r="T104" s="65"/>
      <c r="U104" s="20"/>
      <c r="V104" s="20"/>
      <c r="W104" s="20"/>
      <c r="X104" s="51"/>
      <c r="Y104" s="51"/>
      <c r="Z104" s="51"/>
      <c r="AA104" s="51"/>
      <c r="AB104" s="51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</row>
    <row r="105" spans="1:45" s="20" customFormat="1" x14ac:dyDescent="0.2">
      <c r="A105" s="55"/>
      <c r="B105" s="55"/>
      <c r="C105" s="55"/>
      <c r="D105" s="30"/>
      <c r="E105" s="22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74"/>
      <c r="T105" s="78"/>
      <c r="U105" s="51"/>
      <c r="V105" s="51"/>
      <c r="W105" s="51"/>
    </row>
    <row r="106" spans="1:45" s="12" customFormat="1" x14ac:dyDescent="0.2">
      <c r="A106" s="13"/>
      <c r="B106" s="15" t="s">
        <v>127</v>
      </c>
      <c r="C106" s="13"/>
      <c r="D106" s="33"/>
      <c r="E106" s="38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75"/>
      <c r="T106" s="79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5" s="20" customFormat="1" ht="13.5" thickBot="1" x14ac:dyDescent="0.25">
      <c r="A107" s="21" t="s">
        <v>128</v>
      </c>
      <c r="B107" s="21" t="s">
        <v>129</v>
      </c>
      <c r="C107" s="21" t="s">
        <v>16</v>
      </c>
      <c r="D107" s="22">
        <v>34140.120000000003</v>
      </c>
      <c r="E107" s="22">
        <f t="shared" ref="E107" si="33">D107/7*12</f>
        <v>58525.920000000013</v>
      </c>
      <c r="F107" s="22">
        <f>SUM(G107:R107)</f>
        <v>55170.22</v>
      </c>
      <c r="G107" s="22">
        <v>4720.72</v>
      </c>
      <c r="H107" s="86">
        <v>4698.6400000000003</v>
      </c>
      <c r="I107" s="86">
        <v>4676.47</v>
      </c>
      <c r="J107" s="86">
        <v>4654.2</v>
      </c>
      <c r="K107" s="86">
        <v>4631.84</v>
      </c>
      <c r="L107" s="86">
        <v>4609.37</v>
      </c>
      <c r="M107" s="86">
        <v>4586.8100000000004</v>
      </c>
      <c r="N107" s="86">
        <v>4564.1499999999996</v>
      </c>
      <c r="O107" s="86">
        <v>4541.3900000000003</v>
      </c>
      <c r="P107" s="86">
        <v>4518.53</v>
      </c>
      <c r="Q107" s="86">
        <v>4495.58</v>
      </c>
      <c r="R107" s="86">
        <v>4472.5200000000004</v>
      </c>
      <c r="S107" s="49"/>
      <c r="T107" s="65"/>
    </row>
    <row r="108" spans="1:45" s="27" customFormat="1" x14ac:dyDescent="0.2">
      <c r="A108" s="3"/>
      <c r="B108" s="3" t="s">
        <v>130</v>
      </c>
      <c r="C108" s="3" t="s">
        <v>16</v>
      </c>
      <c r="D108" s="29">
        <f>SUM(D107)</f>
        <v>34140.120000000003</v>
      </c>
      <c r="E108" s="29">
        <f t="shared" ref="E108:R108" si="34">SUM(E107)</f>
        <v>58525.920000000013</v>
      </c>
      <c r="F108" s="29">
        <f t="shared" si="34"/>
        <v>55170.22</v>
      </c>
      <c r="G108" s="29">
        <f t="shared" si="34"/>
        <v>4720.72</v>
      </c>
      <c r="H108" s="29">
        <f t="shared" si="34"/>
        <v>4698.6400000000003</v>
      </c>
      <c r="I108" s="29">
        <f t="shared" si="34"/>
        <v>4676.47</v>
      </c>
      <c r="J108" s="29">
        <f t="shared" si="34"/>
        <v>4654.2</v>
      </c>
      <c r="K108" s="29">
        <f t="shared" si="34"/>
        <v>4631.84</v>
      </c>
      <c r="L108" s="29">
        <f t="shared" si="34"/>
        <v>4609.37</v>
      </c>
      <c r="M108" s="29">
        <f t="shared" si="34"/>
        <v>4586.8100000000004</v>
      </c>
      <c r="N108" s="29">
        <f t="shared" si="34"/>
        <v>4564.1499999999996</v>
      </c>
      <c r="O108" s="29">
        <f t="shared" si="34"/>
        <v>4541.3900000000003</v>
      </c>
      <c r="P108" s="29">
        <f t="shared" si="34"/>
        <v>4518.53</v>
      </c>
      <c r="Q108" s="29">
        <f t="shared" si="34"/>
        <v>4495.58</v>
      </c>
      <c r="R108" s="29">
        <f t="shared" si="34"/>
        <v>4472.5200000000004</v>
      </c>
      <c r="S108" s="76"/>
      <c r="T108" s="80"/>
    </row>
    <row r="109" spans="1:45" s="17" customFormat="1" x14ac:dyDescent="0.2">
      <c r="A109" s="5"/>
      <c r="B109" s="5"/>
      <c r="C109" s="5"/>
      <c r="D109" s="30"/>
      <c r="E109" s="2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5"/>
      <c r="T109" s="79"/>
      <c r="U109"/>
      <c r="V109"/>
      <c r="W109"/>
      <c r="X109"/>
      <c r="Y109"/>
      <c r="Z109"/>
      <c r="AA109"/>
      <c r="AB109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/>
      <c r="AO109"/>
      <c r="AP109" s="12"/>
      <c r="AQ109"/>
      <c r="AR109"/>
      <c r="AS109"/>
    </row>
    <row r="110" spans="1:45" x14ac:dyDescent="0.2">
      <c r="A110" s="4"/>
      <c r="B110" s="97" t="s">
        <v>131</v>
      </c>
      <c r="C110" s="95" t="s">
        <v>16</v>
      </c>
      <c r="D110" s="98"/>
      <c r="E110" s="99"/>
      <c r="F110" s="98"/>
      <c r="G110" s="9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5"/>
      <c r="T110" s="79"/>
      <c r="X110" s="12"/>
      <c r="Y110" s="12"/>
      <c r="Z110" s="12"/>
      <c r="AA110" s="12"/>
      <c r="AB110" s="12"/>
      <c r="AN110" s="12"/>
      <c r="AO110" s="12"/>
      <c r="AQ110" s="12"/>
    </row>
    <row r="111" spans="1:45" x14ac:dyDescent="0.2">
      <c r="A111" s="4" t="s">
        <v>224</v>
      </c>
      <c r="B111" s="4" t="s">
        <v>218</v>
      </c>
      <c r="C111" s="4"/>
      <c r="D111" s="23">
        <v>0</v>
      </c>
      <c r="E111" s="22">
        <f>D111/7*12</f>
        <v>0</v>
      </c>
      <c r="F111" s="6">
        <f>SUM(G111:R111)</f>
        <v>7774</v>
      </c>
      <c r="G111" s="6">
        <v>0</v>
      </c>
      <c r="H111" s="8">
        <v>0</v>
      </c>
      <c r="I111" s="8">
        <v>0</v>
      </c>
      <c r="J111" s="8">
        <v>0</v>
      </c>
      <c r="K111" s="6">
        <v>0</v>
      </c>
      <c r="L111" s="8">
        <v>0</v>
      </c>
      <c r="M111" s="8">
        <v>0</v>
      </c>
      <c r="N111" s="88">
        <v>7774</v>
      </c>
      <c r="O111" s="8">
        <v>0</v>
      </c>
      <c r="P111" s="8">
        <v>0</v>
      </c>
      <c r="Q111" s="8">
        <v>0</v>
      </c>
      <c r="R111" s="8">
        <v>0</v>
      </c>
      <c r="S111" s="75"/>
      <c r="T111" s="79"/>
      <c r="X111" s="12"/>
      <c r="Y111" s="12"/>
      <c r="Z111" s="12"/>
      <c r="AA111" s="12"/>
      <c r="AB111" s="12"/>
      <c r="AN111" s="12"/>
      <c r="AO111" s="12"/>
      <c r="AQ111" s="12"/>
    </row>
    <row r="112" spans="1:45" x14ac:dyDescent="0.2">
      <c r="A112" s="4" t="s">
        <v>225</v>
      </c>
      <c r="B112" s="4" t="s">
        <v>231</v>
      </c>
      <c r="C112" s="4"/>
      <c r="D112" s="23">
        <v>0</v>
      </c>
      <c r="E112" s="22">
        <f>D112/7*12</f>
        <v>0</v>
      </c>
      <c r="F112" s="6">
        <f>SUM(G112:R112)</f>
        <v>26776</v>
      </c>
      <c r="G112" s="6">
        <v>13388</v>
      </c>
      <c r="H112" s="6">
        <v>13388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75"/>
      <c r="T112" s="79"/>
      <c r="X112" s="12"/>
      <c r="Y112" s="12"/>
      <c r="Z112" s="12"/>
      <c r="AA112" s="12"/>
      <c r="AB112" s="12"/>
      <c r="AN112" s="12"/>
      <c r="AO112" s="12"/>
      <c r="AQ112" s="12"/>
    </row>
    <row r="113" spans="1:45" x14ac:dyDescent="0.2">
      <c r="A113" s="4" t="s">
        <v>226</v>
      </c>
      <c r="B113" s="4" t="s">
        <v>219</v>
      </c>
      <c r="C113" s="4"/>
      <c r="D113" s="23">
        <v>0</v>
      </c>
      <c r="E113" s="22">
        <f t="shared" ref="E113:E115" si="35">D113/7*12</f>
        <v>0</v>
      </c>
      <c r="F113" s="6">
        <f>SUM(G113:R113)</f>
        <v>3900</v>
      </c>
      <c r="G113" s="6">
        <v>0</v>
      </c>
      <c r="H113" s="6">
        <v>0</v>
      </c>
      <c r="I113" s="6">
        <v>0</v>
      </c>
      <c r="J113" s="6">
        <v>3900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75"/>
      <c r="T113" s="79"/>
      <c r="X113" s="12"/>
      <c r="Y113" s="12"/>
      <c r="Z113" s="12"/>
      <c r="AA113" s="12"/>
      <c r="AB113" s="12"/>
      <c r="AN113" s="12"/>
      <c r="AO113" s="12"/>
      <c r="AQ113" s="12"/>
    </row>
    <row r="114" spans="1:45" x14ac:dyDescent="0.2">
      <c r="A114" s="4" t="s">
        <v>227</v>
      </c>
      <c r="B114" s="4" t="s">
        <v>230</v>
      </c>
      <c r="C114" s="4"/>
      <c r="D114" s="23">
        <v>0</v>
      </c>
      <c r="E114" s="22">
        <f t="shared" si="35"/>
        <v>0</v>
      </c>
      <c r="F114" s="6">
        <f>SUM(G114:R114)</f>
        <v>9697</v>
      </c>
      <c r="G114" s="6">
        <v>0</v>
      </c>
      <c r="H114" s="6">
        <v>0</v>
      </c>
      <c r="I114" s="6">
        <v>9697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75"/>
      <c r="T114" s="79"/>
      <c r="X114" s="12"/>
      <c r="Y114" s="12"/>
      <c r="Z114" s="12"/>
      <c r="AA114" s="12"/>
      <c r="AB114" s="12"/>
      <c r="AN114" s="12"/>
      <c r="AO114" s="12"/>
      <c r="AQ114" s="12"/>
    </row>
    <row r="115" spans="1:45" ht="13.5" thickBot="1" x14ac:dyDescent="0.25">
      <c r="A115" s="4" t="s">
        <v>227</v>
      </c>
      <c r="B115" s="4" t="s">
        <v>222</v>
      </c>
      <c r="C115" s="4"/>
      <c r="D115" s="23">
        <v>0</v>
      </c>
      <c r="E115" s="22">
        <f t="shared" si="35"/>
        <v>0</v>
      </c>
      <c r="F115" s="6">
        <f>SUM(G115:R115)</f>
        <v>2400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2400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75"/>
      <c r="X115" s="12"/>
      <c r="Y115" s="12"/>
      <c r="Z115" s="12"/>
      <c r="AA115" s="12"/>
      <c r="AB115" s="12"/>
      <c r="AN115" s="12"/>
      <c r="AO115" s="12"/>
      <c r="AQ115" s="12"/>
    </row>
    <row r="116" spans="1:45" s="24" customFormat="1" x14ac:dyDescent="0.2">
      <c r="A116" s="54"/>
      <c r="B116" s="54" t="s">
        <v>132</v>
      </c>
      <c r="C116" s="54" t="s">
        <v>16</v>
      </c>
      <c r="D116" s="64">
        <v>18570.38</v>
      </c>
      <c r="E116" s="64">
        <v>38570</v>
      </c>
      <c r="F116" s="64">
        <f t="shared" ref="F116:R116" si="36">SUM(F111:F115)</f>
        <v>50547</v>
      </c>
      <c r="G116" s="64">
        <f t="shared" si="36"/>
        <v>13388</v>
      </c>
      <c r="H116" s="64">
        <f t="shared" si="36"/>
        <v>13388</v>
      </c>
      <c r="I116" s="64">
        <f t="shared" si="36"/>
        <v>9697</v>
      </c>
      <c r="J116" s="64">
        <f t="shared" si="36"/>
        <v>3900</v>
      </c>
      <c r="K116" s="64">
        <f t="shared" si="36"/>
        <v>0</v>
      </c>
      <c r="L116" s="64">
        <f t="shared" si="36"/>
        <v>2400</v>
      </c>
      <c r="M116" s="64">
        <f t="shared" si="36"/>
        <v>0</v>
      </c>
      <c r="N116" s="64">
        <f t="shared" si="36"/>
        <v>7774</v>
      </c>
      <c r="O116" s="64">
        <f t="shared" si="36"/>
        <v>0</v>
      </c>
      <c r="P116" s="64">
        <f t="shared" si="36"/>
        <v>0</v>
      </c>
      <c r="Q116" s="64">
        <f t="shared" si="36"/>
        <v>0</v>
      </c>
      <c r="R116" s="64">
        <f t="shared" si="36"/>
        <v>0</v>
      </c>
      <c r="S116" s="71"/>
      <c r="T116" s="20"/>
      <c r="U116" s="20"/>
      <c r="V116" s="20"/>
      <c r="W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45" s="24" customFormat="1" x14ac:dyDescent="0.2">
      <c r="A117" s="55"/>
      <c r="B117" s="55"/>
      <c r="C117" s="55"/>
      <c r="D117" s="30"/>
      <c r="E117" s="22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7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5"/>
      <c r="AO117" s="25"/>
      <c r="AP117" s="20"/>
      <c r="AQ117" s="25"/>
      <c r="AR117" s="20"/>
      <c r="AS117" s="20"/>
    </row>
    <row r="118" spans="1:45" s="20" customFormat="1" ht="17.25" customHeight="1" x14ac:dyDescent="0.2">
      <c r="A118" s="28"/>
      <c r="B118" s="28" t="s">
        <v>139</v>
      </c>
      <c r="C118" s="28"/>
      <c r="D118" s="31"/>
      <c r="E118" s="37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71"/>
      <c r="AN118" s="24"/>
      <c r="AO118" s="24"/>
      <c r="AQ118" s="24"/>
    </row>
    <row r="119" spans="1:45" s="20" customFormat="1" x14ac:dyDescent="0.2">
      <c r="A119" s="21" t="s">
        <v>140</v>
      </c>
      <c r="B119" s="21" t="s">
        <v>141</v>
      </c>
      <c r="C119" s="21" t="s">
        <v>16</v>
      </c>
      <c r="D119" s="22">
        <v>34223.699999999997</v>
      </c>
      <c r="E119" s="22">
        <f t="shared" ref="E119:E120" si="37">D119/7*12</f>
        <v>58669.2</v>
      </c>
      <c r="F119" s="22">
        <f>SUM(G119:R119)</f>
        <v>62034.899999999994</v>
      </c>
      <c r="G119" s="52">
        <v>5045.54</v>
      </c>
      <c r="H119" s="23">
        <v>5067.62</v>
      </c>
      <c r="I119" s="23">
        <v>5089.79</v>
      </c>
      <c r="J119" s="23">
        <v>5122.0600000000004</v>
      </c>
      <c r="K119" s="23">
        <v>5134.42</v>
      </c>
      <c r="L119" s="23">
        <v>5156.8900000000003</v>
      </c>
      <c r="M119" s="23">
        <v>5179.45</v>
      </c>
      <c r="N119" s="23">
        <v>5202.1099999999997</v>
      </c>
      <c r="O119" s="23">
        <v>5224.87</v>
      </c>
      <c r="P119" s="23">
        <v>5247.73</v>
      </c>
      <c r="Q119" s="23">
        <v>5270.68</v>
      </c>
      <c r="R119" s="23">
        <v>5293.74</v>
      </c>
      <c r="S119" s="71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P119" s="24"/>
      <c r="AR119" s="53"/>
      <c r="AS119" s="53"/>
    </row>
    <row r="120" spans="1:45" s="20" customFormat="1" ht="13.5" thickBot="1" x14ac:dyDescent="0.25">
      <c r="A120" s="21" t="s">
        <v>178</v>
      </c>
      <c r="B120" s="21" t="s">
        <v>179</v>
      </c>
      <c r="C120" s="21"/>
      <c r="D120" s="22">
        <f>1125*7</f>
        <v>7875</v>
      </c>
      <c r="E120" s="22">
        <f t="shared" si="37"/>
        <v>13500</v>
      </c>
      <c r="F120" s="22">
        <f>SUM(G120:R120)</f>
        <v>13500</v>
      </c>
      <c r="G120" s="22">
        <v>1125</v>
      </c>
      <c r="H120" s="22">
        <v>1125</v>
      </c>
      <c r="I120" s="22">
        <v>1125</v>
      </c>
      <c r="J120" s="22">
        <v>1125</v>
      </c>
      <c r="K120" s="22">
        <v>1125</v>
      </c>
      <c r="L120" s="22">
        <v>1125</v>
      </c>
      <c r="M120" s="22">
        <v>1125</v>
      </c>
      <c r="N120" s="22">
        <v>1125</v>
      </c>
      <c r="O120" s="22">
        <v>1125</v>
      </c>
      <c r="P120" s="22">
        <v>1125</v>
      </c>
      <c r="Q120" s="22">
        <v>1125</v>
      </c>
      <c r="R120" s="22">
        <v>1125</v>
      </c>
      <c r="S120" s="71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P120" s="24"/>
      <c r="AR120" s="53"/>
      <c r="AS120" s="53"/>
    </row>
    <row r="121" spans="1:45" s="24" customFormat="1" x14ac:dyDescent="0.2">
      <c r="A121" s="54"/>
      <c r="B121" s="54" t="s">
        <v>177</v>
      </c>
      <c r="C121" s="54" t="s">
        <v>16</v>
      </c>
      <c r="D121" s="29">
        <f>SUM(D119:D120)</f>
        <v>42098.7</v>
      </c>
      <c r="E121" s="29">
        <f>SUM(E119:E120)</f>
        <v>72169.2</v>
      </c>
      <c r="F121" s="29">
        <f>SUM(F119:F120)</f>
        <v>75534.899999999994</v>
      </c>
      <c r="G121" s="29">
        <f>SUM(G119:G120)</f>
        <v>6170.54</v>
      </c>
      <c r="H121" s="29">
        <f t="shared" ref="H121:R121" si="38">SUM(H119:H120)</f>
        <v>6192.62</v>
      </c>
      <c r="I121" s="29">
        <f t="shared" si="38"/>
        <v>6214.79</v>
      </c>
      <c r="J121" s="29">
        <f t="shared" si="38"/>
        <v>6247.06</v>
      </c>
      <c r="K121" s="29">
        <f t="shared" si="38"/>
        <v>6259.42</v>
      </c>
      <c r="L121" s="29">
        <f t="shared" si="38"/>
        <v>6281.89</v>
      </c>
      <c r="M121" s="29">
        <f t="shared" si="38"/>
        <v>6304.45</v>
      </c>
      <c r="N121" s="29">
        <f t="shared" si="38"/>
        <v>6327.11</v>
      </c>
      <c r="O121" s="29">
        <f t="shared" si="38"/>
        <v>6349.87</v>
      </c>
      <c r="P121" s="29">
        <f t="shared" si="38"/>
        <v>6372.73</v>
      </c>
      <c r="Q121" s="29">
        <f t="shared" si="38"/>
        <v>6395.68</v>
      </c>
      <c r="R121" s="29">
        <f t="shared" si="38"/>
        <v>6418.74</v>
      </c>
      <c r="S121" s="71"/>
      <c r="T121" s="20"/>
      <c r="U121" s="20"/>
      <c r="V121" s="20"/>
      <c r="W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1:45" s="20" customFormat="1" ht="13.5" thickBot="1" x14ac:dyDescent="0.25">
      <c r="A122" s="55"/>
      <c r="B122" s="55"/>
      <c r="C122" s="55"/>
      <c r="D122" s="30"/>
      <c r="E122" s="22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42"/>
      <c r="X122" s="24"/>
      <c r="Y122" s="24"/>
      <c r="Z122" s="24"/>
      <c r="AA122" s="24"/>
      <c r="AB122" s="24"/>
    </row>
    <row r="123" spans="1:45" s="24" customFormat="1" x14ac:dyDescent="0.2">
      <c r="A123" s="54"/>
      <c r="B123" s="54" t="s">
        <v>133</v>
      </c>
      <c r="C123" s="54" t="s">
        <v>16</v>
      </c>
      <c r="D123" s="29">
        <f>D104-D108-D116-D121</f>
        <v>12047.939999999988</v>
      </c>
      <c r="E123" s="29">
        <f>E104-E108-E116-E121</f>
        <v>14949.868571428568</v>
      </c>
      <c r="F123" s="29">
        <f t="shared" ref="F123:R123" si="39">F104-F108-F116-F121</f>
        <v>6206.5704028001055</v>
      </c>
      <c r="G123" s="29">
        <f t="shared" si="39"/>
        <v>-11408.854432100006</v>
      </c>
      <c r="H123" s="29">
        <f t="shared" si="39"/>
        <v>-6519.5119321000066</v>
      </c>
      <c r="I123" s="29">
        <f t="shared" si="39"/>
        <v>-9403.4119320999944</v>
      </c>
      <c r="J123" s="29">
        <f t="shared" si="39"/>
        <v>2358.8068179000047</v>
      </c>
      <c r="K123" s="29">
        <f t="shared" si="39"/>
        <v>3201.2355667000029</v>
      </c>
      <c r="L123" s="29">
        <f t="shared" si="39"/>
        <v>7009.8905667000026</v>
      </c>
      <c r="M123" s="29">
        <f t="shared" si="39"/>
        <v>1773.1355666999971</v>
      </c>
      <c r="N123" s="29">
        <f t="shared" si="39"/>
        <v>1529.1243166999948</v>
      </c>
      <c r="O123" s="29">
        <f t="shared" si="39"/>
        <v>4513.3218167000041</v>
      </c>
      <c r="P123" s="29">
        <f t="shared" si="39"/>
        <v>7984.6430666999986</v>
      </c>
      <c r="Q123" s="29">
        <f t="shared" si="39"/>
        <v>3695.3430667000011</v>
      </c>
      <c r="R123" s="29">
        <f t="shared" si="39"/>
        <v>1472.847914299995</v>
      </c>
      <c r="S123" s="42"/>
      <c r="T123" s="20"/>
      <c r="U123" s="20"/>
      <c r="V123" s="20"/>
      <c r="W123" s="20"/>
      <c r="X123" s="20"/>
      <c r="Y123" s="20"/>
      <c r="Z123" s="20"/>
      <c r="AA123" s="20"/>
      <c r="AB123" s="20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0"/>
      <c r="AO123" s="20"/>
      <c r="AP123" s="25"/>
      <c r="AQ123" s="20"/>
    </row>
    <row r="124" spans="1:45" s="20" customFormat="1" x14ac:dyDescent="0.2">
      <c r="A124" s="21"/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3"/>
      <c r="X124" s="25"/>
      <c r="Y124" s="25"/>
      <c r="Z124" s="25"/>
      <c r="AA124" s="25"/>
      <c r="AB124" s="25"/>
      <c r="AR124" s="24"/>
      <c r="AS124" s="24"/>
    </row>
    <row r="125" spans="1:45" s="25" customFormat="1" ht="12" customHeight="1" x14ac:dyDescent="0.2">
      <c r="A125" s="21"/>
      <c r="B125" s="21"/>
      <c r="C125" s="21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5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4"/>
      <c r="AO125" s="24"/>
      <c r="AP125" s="20"/>
      <c r="AQ125" s="24"/>
      <c r="AR125" s="24"/>
      <c r="AS125" s="24"/>
    </row>
    <row r="126" spans="1:45" s="20" customFormat="1" x14ac:dyDescent="0.2">
      <c r="A126" s="28"/>
      <c r="B126" s="28" t="s">
        <v>150</v>
      </c>
      <c r="C126" s="28"/>
      <c r="D126" s="32"/>
      <c r="E126" s="37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42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</row>
    <row r="127" spans="1:45" s="20" customFormat="1" x14ac:dyDescent="0.2">
      <c r="A127" s="21" t="s">
        <v>174</v>
      </c>
      <c r="B127" s="21" t="s">
        <v>134</v>
      </c>
      <c r="C127" s="21" t="s">
        <v>16</v>
      </c>
      <c r="D127" s="22">
        <v>38918.11</v>
      </c>
      <c r="E127" s="22">
        <f t="shared" ref="E127:E128" si="40">D127/7*12</f>
        <v>66716.760000000009</v>
      </c>
      <c r="F127" s="22">
        <f>SUM(G127:R127)</f>
        <v>66612</v>
      </c>
      <c r="G127" s="22">
        <v>5551</v>
      </c>
      <c r="H127" s="22">
        <v>5551</v>
      </c>
      <c r="I127" s="22">
        <v>5551</v>
      </c>
      <c r="J127" s="22">
        <v>5551</v>
      </c>
      <c r="K127" s="22">
        <v>5551</v>
      </c>
      <c r="L127" s="22">
        <v>5551</v>
      </c>
      <c r="M127" s="22">
        <v>5551</v>
      </c>
      <c r="N127" s="22">
        <v>5551</v>
      </c>
      <c r="O127" s="22">
        <v>5551</v>
      </c>
      <c r="P127" s="22">
        <v>5551</v>
      </c>
      <c r="Q127" s="22">
        <v>5551</v>
      </c>
      <c r="R127" s="22">
        <v>5551</v>
      </c>
      <c r="S127" s="42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5"/>
      <c r="AS127" s="25"/>
    </row>
    <row r="128" spans="1:45" s="20" customFormat="1" ht="13.5" thickBot="1" x14ac:dyDescent="0.25">
      <c r="A128" s="21" t="s">
        <v>135</v>
      </c>
      <c r="B128" s="21" t="s">
        <v>136</v>
      </c>
      <c r="C128" s="21" t="s">
        <v>16</v>
      </c>
      <c r="D128" s="26">
        <v>72.73</v>
      </c>
      <c r="E128" s="22">
        <f t="shared" si="40"/>
        <v>124.68</v>
      </c>
      <c r="F128" s="26">
        <f>SUM(G128:R128)</f>
        <v>120</v>
      </c>
      <c r="G128" s="26">
        <v>10</v>
      </c>
      <c r="H128" s="26">
        <v>10</v>
      </c>
      <c r="I128" s="26">
        <v>10</v>
      </c>
      <c r="J128" s="26">
        <v>10</v>
      </c>
      <c r="K128" s="26">
        <v>10</v>
      </c>
      <c r="L128" s="26">
        <v>10</v>
      </c>
      <c r="M128" s="26">
        <v>10</v>
      </c>
      <c r="N128" s="26">
        <v>10</v>
      </c>
      <c r="O128" s="26">
        <v>10</v>
      </c>
      <c r="P128" s="26">
        <v>10</v>
      </c>
      <c r="Q128" s="26">
        <v>10</v>
      </c>
      <c r="R128" s="26">
        <v>10</v>
      </c>
      <c r="S128" s="46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P128" s="24"/>
    </row>
    <row r="129" spans="1:45" s="24" customFormat="1" x14ac:dyDescent="0.2">
      <c r="A129" s="54"/>
      <c r="B129" s="54" t="s">
        <v>137</v>
      </c>
      <c r="C129" s="54" t="s">
        <v>16</v>
      </c>
      <c r="D129" s="64">
        <f>SUM(D127:D128)</f>
        <v>38990.840000000004</v>
      </c>
      <c r="E129" s="64">
        <f>SUM(E127:E128)</f>
        <v>66841.440000000002</v>
      </c>
      <c r="F129" s="64">
        <f t="shared" ref="F129:R129" si="41">SUM(F127:F128)</f>
        <v>66732</v>
      </c>
      <c r="G129" s="64">
        <f t="shared" si="41"/>
        <v>5561</v>
      </c>
      <c r="H129" s="64">
        <f t="shared" si="41"/>
        <v>5561</v>
      </c>
      <c r="I129" s="64">
        <f t="shared" si="41"/>
        <v>5561</v>
      </c>
      <c r="J129" s="64">
        <f t="shared" si="41"/>
        <v>5561</v>
      </c>
      <c r="K129" s="64">
        <f t="shared" si="41"/>
        <v>5561</v>
      </c>
      <c r="L129" s="64">
        <f t="shared" si="41"/>
        <v>5561</v>
      </c>
      <c r="M129" s="64">
        <f t="shared" si="41"/>
        <v>5561</v>
      </c>
      <c r="N129" s="64">
        <f t="shared" si="41"/>
        <v>5561</v>
      </c>
      <c r="O129" s="64">
        <f t="shared" si="41"/>
        <v>5561</v>
      </c>
      <c r="P129" s="64">
        <f t="shared" si="41"/>
        <v>5561</v>
      </c>
      <c r="Q129" s="64">
        <f t="shared" si="41"/>
        <v>5561</v>
      </c>
      <c r="R129" s="64">
        <f t="shared" si="41"/>
        <v>5561</v>
      </c>
      <c r="S129" s="46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5"/>
      <c r="AO129" s="25"/>
      <c r="AP129" s="20"/>
      <c r="AQ129" s="25"/>
      <c r="AR129" s="20"/>
      <c r="AS129" s="20"/>
    </row>
    <row r="130" spans="1:45" s="20" customFormat="1" ht="13.5" thickBot="1" x14ac:dyDescent="0.25">
      <c r="A130" s="59"/>
      <c r="B130" s="59"/>
      <c r="C130" s="59"/>
      <c r="D130" s="63"/>
      <c r="E130" s="34"/>
      <c r="F130" s="63"/>
      <c r="G130" s="63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46"/>
      <c r="T130" s="24"/>
      <c r="U130" s="24"/>
      <c r="V130" s="24"/>
      <c r="W130" s="24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P130" s="25"/>
    </row>
    <row r="131" spans="1:45" s="20" customFormat="1" x14ac:dyDescent="0.2">
      <c r="A131" s="54"/>
      <c r="B131" s="54" t="s">
        <v>138</v>
      </c>
      <c r="C131" s="54" t="s">
        <v>16</v>
      </c>
      <c r="D131" s="64">
        <f>D123-D129</f>
        <v>-26942.900000000016</v>
      </c>
      <c r="E131" s="64">
        <f>E123-E129</f>
        <v>-51891.571428571435</v>
      </c>
      <c r="F131" s="64">
        <f t="shared" ref="F131:R131" si="42">F123-F129</f>
        <v>-60525.429597199894</v>
      </c>
      <c r="G131" s="64">
        <f t="shared" si="42"/>
        <v>-16969.854432100008</v>
      </c>
      <c r="H131" s="64">
        <f t="shared" si="42"/>
        <v>-12080.511932100006</v>
      </c>
      <c r="I131" s="64">
        <f t="shared" si="42"/>
        <v>-14964.411932099994</v>
      </c>
      <c r="J131" s="64">
        <f t="shared" si="42"/>
        <v>-3202.1931820999953</v>
      </c>
      <c r="K131" s="64">
        <f t="shared" si="42"/>
        <v>-2359.7644332999971</v>
      </c>
      <c r="L131" s="64">
        <f t="shared" si="42"/>
        <v>1448.8905667000026</v>
      </c>
      <c r="M131" s="64">
        <f t="shared" si="42"/>
        <v>-3787.8644333000029</v>
      </c>
      <c r="N131" s="64">
        <f t="shared" si="42"/>
        <v>-4031.8756833000052</v>
      </c>
      <c r="O131" s="64">
        <f t="shared" si="42"/>
        <v>-1047.6781832999959</v>
      </c>
      <c r="P131" s="64">
        <f t="shared" si="42"/>
        <v>2423.6430666999986</v>
      </c>
      <c r="Q131" s="64">
        <f t="shared" si="42"/>
        <v>-1865.6569332999989</v>
      </c>
      <c r="R131" s="64">
        <f t="shared" si="42"/>
        <v>-4088.152085700005</v>
      </c>
      <c r="S131" s="42"/>
      <c r="X131" s="25"/>
      <c r="Y131" s="25"/>
      <c r="Z131" s="25"/>
      <c r="AA131" s="25"/>
      <c r="AB131" s="25"/>
      <c r="AR131" s="24"/>
      <c r="AS131" s="24"/>
    </row>
    <row r="132" spans="1:45" s="53" customFormat="1" x14ac:dyDescent="0.2">
      <c r="A132" s="55"/>
      <c r="B132" s="55"/>
      <c r="C132" s="55"/>
      <c r="D132" s="30"/>
      <c r="E132" s="22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56"/>
      <c r="T132" s="25"/>
      <c r="U132" s="25"/>
      <c r="V132" s="25"/>
      <c r="W132" s="2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1:45" s="20" customFormat="1" x14ac:dyDescent="0.2">
      <c r="D133" s="82"/>
      <c r="E133" s="35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42"/>
      <c r="X133" s="53"/>
      <c r="Y133" s="53"/>
      <c r="Z133" s="53"/>
      <c r="AA133" s="53"/>
      <c r="AB133" s="53"/>
    </row>
    <row r="134" spans="1:45" s="20" customFormat="1" x14ac:dyDescent="0.2">
      <c r="D134" s="35"/>
      <c r="E134" s="35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2"/>
      <c r="T134" s="53"/>
      <c r="U134" s="53"/>
      <c r="V134" s="53"/>
      <c r="W134" s="53"/>
    </row>
    <row r="135" spans="1:45" x14ac:dyDescent="0.2">
      <c r="A135" s="10"/>
      <c r="B135" s="10"/>
      <c r="C135" s="10"/>
      <c r="D135" s="36"/>
      <c r="E135" s="3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</sheetData>
  <customSheetViews>
    <customSheetView guid="{4CBC424B-E91A-4546-BB5E-0558CEEBD15B}" showPageBreaks="1" printArea="1" hiddenColumns="1">
      <selection activeCell="G65" sqref="G65"/>
      <rowBreaks count="3" manualBreakCount="3">
        <brk id="39" max="18" man="1"/>
        <brk id="71" max="18" man="1"/>
        <brk id="105" max="18" man="1"/>
      </rowBreaks>
      <pageMargins left="0.75" right="0.75" top="1" bottom="1" header="0.5" footer="0.5"/>
      <pageSetup scale="83" orientation="landscape" verticalDpi="300" r:id="rId1"/>
      <headerFooter alignWithMargins="0"/>
    </customSheetView>
  </customSheetViews>
  <mergeCells count="14">
    <mergeCell ref="J4:J5"/>
    <mergeCell ref="I4:I5"/>
    <mergeCell ref="H4:H5"/>
    <mergeCell ref="A1:R1"/>
    <mergeCell ref="A2:R2"/>
    <mergeCell ref="A3:R3"/>
    <mergeCell ref="C4:C5"/>
    <mergeCell ref="G4:G5"/>
    <mergeCell ref="N4:N5"/>
    <mergeCell ref="K4:K5"/>
    <mergeCell ref="P4:P5"/>
    <mergeCell ref="Q4:Q5"/>
    <mergeCell ref="R4:R5"/>
    <mergeCell ref="O4:O5"/>
  </mergeCells>
  <phoneticPr fontId="8" type="noConversion"/>
  <pageMargins left="0.75" right="0.75" top="1" bottom="1" header="0.5" footer="0.5"/>
  <pageSetup scale="83" orientation="landscape" verticalDpi="300" r:id="rId2"/>
  <headerFooter alignWithMargins="0"/>
  <rowBreaks count="3" manualBreakCount="3">
    <brk id="39" max="18" man="1"/>
    <brk id="71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CBC424B-E91A-4546-BB5E-0558CEEBD15B}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4CBC424B-E91A-4546-BB5E-0558CEEBD15B}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The Ross Management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JeanetteK</dc:creator>
  <cp:lastModifiedBy>Keith Roberts</cp:lastModifiedBy>
  <cp:lastPrinted>2016-12-09T19:06:50Z</cp:lastPrinted>
  <dcterms:created xsi:type="dcterms:W3CDTF">2009-11-02T21:17:10Z</dcterms:created>
  <dcterms:modified xsi:type="dcterms:W3CDTF">2017-02-03T22:02:05Z</dcterms:modified>
</cp:coreProperties>
</file>