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 activeTab="1"/>
  </bookViews>
  <sheets>
    <sheet name="Consolidation Rollup" sheetId="47" r:id="rId1"/>
    <sheet name="JCHA " sheetId="41" r:id="rId2"/>
    <sheet name="Vouchers" sheetId="40" r:id="rId3"/>
    <sheet name="Canyon Gate" sheetId="39" r:id="rId4"/>
    <sheet name="Green Ridge" sheetId="34" r:id="rId5"/>
    <sheet name="Caesar Sq" sheetId="26" r:id="rId6"/>
    <sheet name="Mtn View" sheetId="29" r:id="rId7"/>
    <sheet name="Kendall Apts" sheetId="27" r:id="rId8"/>
    <sheet name="Viking Sq" sheetId="38" r:id="rId9"/>
    <sheet name="Aspen Ridge" sheetId="32" r:id="rId10"/>
    <sheet name="Redwood Village" sheetId="31" r:id="rId11"/>
    <sheet name="Rehab" sheetId="28" r:id="rId12"/>
    <sheet name="Glendale" sheetId="37" r:id="rId13"/>
    <sheet name="Harlan" sheetId="48" r:id="rId14"/>
    <sheet name="Lewis Ct" sheetId="42" r:id="rId15"/>
    <sheet name="2014" sheetId="24" state="hidden" r:id="rId16"/>
    <sheet name="2013" sheetId="23" state="hidden" r:id="rId17"/>
    <sheet name="2012" sheetId="22" state="hidden" r:id="rId18"/>
  </sheets>
  <externalReferences>
    <externalReference r:id="rId19"/>
    <externalReference r:id="rId20"/>
    <externalReference r:id="rId21"/>
  </externalReferences>
  <definedNames>
    <definedName name="_xlnm.Print_Area" localSheetId="9">'Aspen Ridge'!$A$1:$L$96</definedName>
    <definedName name="_xlnm.Print_Area" localSheetId="5">'Caesar Sq'!$A$1:$K$101</definedName>
    <definedName name="_xlnm.Print_Area" localSheetId="3">'Canyon Gate'!$A$1:$K$101</definedName>
    <definedName name="_xlnm.Print_Area" localSheetId="0">'Consolidation Rollup'!$A$2:$I$193</definedName>
    <definedName name="_xlnm.Print_Area" localSheetId="12">Glendale!$A$1:$K$98</definedName>
    <definedName name="_xlnm.Print_Area" localSheetId="4">'Green Ridge'!$A$1:$K$102</definedName>
    <definedName name="_xlnm.Print_Area" localSheetId="13">Harlan!$A$1:$M$103</definedName>
    <definedName name="_xlnm.Print_Area" localSheetId="1">'JCHA '!$A$1:$L$96</definedName>
    <definedName name="_xlnm.Print_Area" localSheetId="7">'Kendall Apts'!$A$1:$K$79</definedName>
    <definedName name="_xlnm.Print_Area" localSheetId="14">'Lewis Ct'!$A$1:$K$104</definedName>
    <definedName name="_xlnm.Print_Area" localSheetId="6">'Mtn View'!$A$1:$K$86</definedName>
    <definedName name="_xlnm.Print_Area" localSheetId="10">'Redwood Village'!$A$1:$K$96</definedName>
    <definedName name="_xlnm.Print_Area" localSheetId="11">Rehab!$A$1:$K$63</definedName>
    <definedName name="_xlnm.Print_Area" localSheetId="8">'Viking Sq'!$A$1:$K$98</definedName>
    <definedName name="_xlnm.Print_Area" localSheetId="2">Vouchers!$A$1:$K$59</definedName>
    <definedName name="_xlnm.Print_Titles" localSheetId="9">'Aspen Ridge'!$1:$4</definedName>
    <definedName name="_xlnm.Print_Titles" localSheetId="5">'Caesar Sq'!$1:$4</definedName>
    <definedName name="_xlnm.Print_Titles" localSheetId="3">'Canyon Gate'!$1:$4</definedName>
    <definedName name="_xlnm.Print_Titles" localSheetId="0">'Consolidation Rollup'!$1:$9</definedName>
    <definedName name="_xlnm.Print_Titles" localSheetId="12">Glendale!$1:$4</definedName>
    <definedName name="_xlnm.Print_Titles" localSheetId="4">'Green Ridge'!$1:$4</definedName>
    <definedName name="_xlnm.Print_Titles" localSheetId="13">Harlan!$1:$4</definedName>
    <definedName name="_xlnm.Print_Titles" localSheetId="1">'JCHA '!$1:$4</definedName>
    <definedName name="_xlnm.Print_Titles" localSheetId="7">'Kendall Apts'!$1:$4</definedName>
    <definedName name="_xlnm.Print_Titles" localSheetId="14">'Lewis Ct'!$1:$4</definedName>
    <definedName name="_xlnm.Print_Titles" localSheetId="8">'Viking Sq'!$1:$4</definedName>
  </definedNames>
  <calcPr calcId="145621"/>
</workbook>
</file>

<file path=xl/calcChain.xml><?xml version="1.0" encoding="utf-8"?>
<calcChain xmlns="http://schemas.openxmlformats.org/spreadsheetml/2006/main">
  <c r="E43" i="42" l="1"/>
  <c r="F84" i="48" l="1"/>
  <c r="F20" i="28"/>
  <c r="F19" i="28"/>
  <c r="F18" i="28"/>
  <c r="F17" i="28"/>
  <c r="F90" i="31"/>
  <c r="F91" i="31"/>
  <c r="F92" i="31"/>
  <c r="F93" i="31"/>
  <c r="F94" i="31"/>
  <c r="F89" i="31"/>
  <c r="F96" i="38"/>
  <c r="F95" i="38"/>
  <c r="F94" i="38"/>
  <c r="F93" i="38"/>
  <c r="F92" i="38"/>
  <c r="F80" i="29"/>
  <c r="F85" i="29" s="1"/>
  <c r="E85" i="29"/>
  <c r="E145" i="47"/>
  <c r="J98" i="48" l="1"/>
  <c r="I64" i="48"/>
  <c r="I62" i="48"/>
  <c r="F80" i="31"/>
  <c r="I60" i="32"/>
  <c r="I63" i="32"/>
  <c r="J63" i="32"/>
  <c r="H63" i="32"/>
  <c r="F63" i="32"/>
  <c r="L63" i="32" s="1"/>
  <c r="I60" i="38"/>
  <c r="G52" i="27"/>
  <c r="J52" i="27"/>
  <c r="F52" i="27"/>
  <c r="L52" i="27" s="1"/>
  <c r="J68" i="26"/>
  <c r="H68" i="26"/>
  <c r="F68" i="26"/>
  <c r="L68" i="26" s="1"/>
  <c r="I64" i="34"/>
  <c r="J64" i="34"/>
  <c r="H64" i="34"/>
  <c r="F64" i="34"/>
  <c r="L64" i="34" s="1"/>
  <c r="I62" i="39"/>
  <c r="J62" i="39" s="1"/>
  <c r="F62" i="39"/>
  <c r="H62" i="39"/>
  <c r="I54" i="41"/>
  <c r="I95" i="41"/>
  <c r="M25" i="41" l="1"/>
  <c r="I32" i="28" l="1"/>
  <c r="I38" i="32"/>
  <c r="I38" i="39"/>
  <c r="N76" i="48"/>
  <c r="I70" i="48"/>
  <c r="L75" i="37"/>
  <c r="I46" i="37"/>
  <c r="I33" i="28"/>
  <c r="I46" i="28"/>
  <c r="M70" i="31"/>
  <c r="I76" i="31"/>
  <c r="F79" i="32"/>
  <c r="I75" i="32"/>
  <c r="I84" i="38"/>
  <c r="L75" i="38"/>
  <c r="L70" i="38"/>
  <c r="L55" i="38"/>
  <c r="L46" i="38"/>
  <c r="I76" i="29"/>
  <c r="L46" i="29"/>
  <c r="I55" i="29"/>
  <c r="I70" i="29"/>
  <c r="L76" i="26"/>
  <c r="I85" i="34"/>
  <c r="L71" i="34"/>
  <c r="L71" i="39"/>
  <c r="M70" i="41" l="1"/>
  <c r="M55" i="31"/>
  <c r="M55" i="41"/>
  <c r="N76" i="41"/>
  <c r="N76" i="40"/>
  <c r="F74" i="41"/>
  <c r="F75" i="41"/>
  <c r="F76" i="41"/>
  <c r="F77" i="41"/>
  <c r="F74" i="40"/>
  <c r="F75" i="40"/>
  <c r="F76" i="40"/>
  <c r="F77" i="40"/>
  <c r="F78" i="40"/>
  <c r="F75" i="39"/>
  <c r="F76" i="39"/>
  <c r="F77" i="39"/>
  <c r="N77" i="39" s="1"/>
  <c r="F78" i="39"/>
  <c r="F75" i="34"/>
  <c r="L75" i="34" s="1"/>
  <c r="F76" i="34"/>
  <c r="L76" i="34" s="1"/>
  <c r="F77" i="34"/>
  <c r="F78" i="34"/>
  <c r="F79" i="34"/>
  <c r="F75" i="26"/>
  <c r="F76" i="26"/>
  <c r="F77" i="26"/>
  <c r="N77" i="26" s="1"/>
  <c r="F78" i="26"/>
  <c r="F79" i="26"/>
  <c r="F75" i="29"/>
  <c r="F78" i="29"/>
  <c r="F75" i="27"/>
  <c r="F77" i="27"/>
  <c r="N77" i="27" s="1"/>
  <c r="F78" i="27"/>
  <c r="F74" i="38"/>
  <c r="F75" i="38"/>
  <c r="F76" i="38"/>
  <c r="N76" i="38" s="1"/>
  <c r="F77" i="38"/>
  <c r="F78" i="38"/>
  <c r="N77" i="32"/>
  <c r="F78" i="32"/>
  <c r="F74" i="31"/>
  <c r="F75" i="31"/>
  <c r="F74" i="37"/>
  <c r="F75" i="37"/>
  <c r="F76" i="37"/>
  <c r="F77" i="37"/>
  <c r="F78" i="37"/>
  <c r="F74" i="48"/>
  <c r="F75" i="48"/>
  <c r="F76" i="48"/>
  <c r="F77" i="48"/>
  <c r="F78" i="48"/>
  <c r="F73" i="41"/>
  <c r="F73" i="40"/>
  <c r="F74" i="39"/>
  <c r="F74" i="34"/>
  <c r="F74" i="26"/>
  <c r="F73" i="29"/>
  <c r="F73" i="38"/>
  <c r="F74" i="32"/>
  <c r="F73" i="31"/>
  <c r="F73" i="37"/>
  <c r="F73" i="48"/>
  <c r="N75" i="41"/>
  <c r="N75" i="40"/>
  <c r="N76" i="39"/>
  <c r="N76" i="34"/>
  <c r="N76" i="26"/>
  <c r="N75" i="29"/>
  <c r="N76" i="27"/>
  <c r="N75" i="38"/>
  <c r="N76" i="32"/>
  <c r="N75" i="31"/>
  <c r="N75" i="48"/>
  <c r="N73" i="41"/>
  <c r="N73" i="40"/>
  <c r="N74" i="39"/>
  <c r="N74" i="34"/>
  <c r="N74" i="26"/>
  <c r="N73" i="29"/>
  <c r="N74" i="27"/>
  <c r="N73" i="38"/>
  <c r="N74" i="32"/>
  <c r="N73" i="31"/>
  <c r="N73" i="48"/>
  <c r="N77" i="34" l="1"/>
  <c r="L77" i="34"/>
  <c r="N76" i="37"/>
  <c r="L76" i="37"/>
  <c r="F77" i="42"/>
  <c r="J85" i="41" l="1"/>
  <c r="M81" i="41"/>
  <c r="M83" i="41"/>
  <c r="I97" i="48" l="1"/>
  <c r="I20" i="41" l="1"/>
  <c r="I19" i="41"/>
  <c r="J19" i="41" s="1"/>
  <c r="F19" i="41"/>
  <c r="J17" i="41"/>
  <c r="I25" i="40" l="1"/>
  <c r="L31" i="42" l="1"/>
  <c r="L90" i="42"/>
  <c r="J56" i="40"/>
  <c r="J63" i="48"/>
  <c r="J64" i="48"/>
  <c r="F63" i="48"/>
  <c r="N63" i="48" s="1"/>
  <c r="F64" i="48"/>
  <c r="N64" i="48" s="1"/>
  <c r="F69" i="48"/>
  <c r="N69" i="48" s="1"/>
  <c r="F56" i="48"/>
  <c r="N56" i="48" s="1"/>
  <c r="F57" i="48"/>
  <c r="N57" i="48" s="1"/>
  <c r="F58" i="48"/>
  <c r="N58" i="48" s="1"/>
  <c r="F60" i="48"/>
  <c r="N60" i="48" s="1"/>
  <c r="F61" i="48"/>
  <c r="N61" i="48" s="1"/>
  <c r="F62" i="48"/>
  <c r="N62" i="48" s="1"/>
  <c r="F65" i="48"/>
  <c r="N65" i="48" s="1"/>
  <c r="F66" i="48"/>
  <c r="N66" i="48" s="1"/>
  <c r="F67" i="48"/>
  <c r="N67" i="48" s="1"/>
  <c r="F68" i="48"/>
  <c r="N68" i="48" s="1"/>
  <c r="F55" i="48"/>
  <c r="F51" i="48"/>
  <c r="F49" i="48"/>
  <c r="F50" i="48"/>
  <c r="F48" i="48"/>
  <c r="F44" i="48"/>
  <c r="N44" i="48" s="1"/>
  <c r="F27" i="48"/>
  <c r="F28" i="48"/>
  <c r="F29" i="48"/>
  <c r="N29" i="48" s="1"/>
  <c r="F30" i="48"/>
  <c r="F31" i="48"/>
  <c r="N31" i="48" s="1"/>
  <c r="F32" i="48"/>
  <c r="F33" i="48"/>
  <c r="N33" i="48" s="1"/>
  <c r="F34" i="48"/>
  <c r="N34" i="48" s="1"/>
  <c r="F35" i="48"/>
  <c r="N35" i="48" s="1"/>
  <c r="F36" i="48"/>
  <c r="N36" i="48" s="1"/>
  <c r="F37" i="48"/>
  <c r="N37" i="48" s="1"/>
  <c r="F38" i="48"/>
  <c r="N38" i="48" s="1"/>
  <c r="F39" i="48"/>
  <c r="N39" i="48" s="1"/>
  <c r="F40" i="48"/>
  <c r="N40" i="48" s="1"/>
  <c r="F41" i="48"/>
  <c r="N41" i="48" s="1"/>
  <c r="F42" i="48"/>
  <c r="N42" i="48" s="1"/>
  <c r="F43" i="48"/>
  <c r="N43" i="48" s="1"/>
  <c r="F26" i="48"/>
  <c r="F12" i="48" l="1"/>
  <c r="F7" i="48"/>
  <c r="F8" i="48"/>
  <c r="F9" i="48"/>
  <c r="F10" i="48"/>
  <c r="F11" i="48"/>
  <c r="F6" i="48"/>
  <c r="F5" i="48"/>
  <c r="N5" i="48" s="1"/>
  <c r="N6" i="48"/>
  <c r="J62" i="28" l="1"/>
  <c r="J63" i="28" s="1"/>
  <c r="J20" i="28" s="1"/>
  <c r="J56" i="28"/>
  <c r="J50" i="28"/>
  <c r="J51" i="28"/>
  <c r="J52" i="28"/>
  <c r="J53" i="28"/>
  <c r="J54" i="28"/>
  <c r="J55" i="28"/>
  <c r="J49" i="28"/>
  <c r="I63" i="28"/>
  <c r="I20" i="28" s="1"/>
  <c r="I57" i="28"/>
  <c r="I18" i="28"/>
  <c r="I88" i="32"/>
  <c r="I90" i="32"/>
  <c r="J94" i="38"/>
  <c r="J93" i="38"/>
  <c r="L72" i="38"/>
  <c r="L69" i="38"/>
  <c r="I33" i="32"/>
  <c r="I19" i="28" l="1"/>
  <c r="I96" i="32"/>
  <c r="J57" i="28"/>
  <c r="J19" i="28" s="1"/>
  <c r="I52" i="29"/>
  <c r="J95" i="34"/>
  <c r="F95" i="34"/>
  <c r="J49" i="41" l="1"/>
  <c r="H49" i="41"/>
  <c r="F49" i="41"/>
  <c r="M82" i="41" l="1"/>
  <c r="N53" i="28"/>
  <c r="N54" i="28"/>
  <c r="N52" i="28"/>
  <c r="N50" i="28"/>
  <c r="N51" i="28"/>
  <c r="N49" i="28"/>
  <c r="N51" i="48" l="1"/>
  <c r="N74" i="48"/>
  <c r="L74" i="37"/>
  <c r="L72" i="37"/>
  <c r="L73" i="37"/>
  <c r="J67" i="37"/>
  <c r="F67" i="37"/>
  <c r="L67" i="37" s="1"/>
  <c r="J66" i="37"/>
  <c r="F66" i="37"/>
  <c r="L66" i="37" s="1"/>
  <c r="I42" i="37"/>
  <c r="L7" i="37"/>
  <c r="M71" i="31"/>
  <c r="M69" i="31"/>
  <c r="J64" i="31"/>
  <c r="F64" i="31"/>
  <c r="M64" i="31" s="1"/>
  <c r="J63" i="31"/>
  <c r="F63" i="31"/>
  <c r="M63" i="31" s="1"/>
  <c r="I39" i="31"/>
  <c r="M7" i="31"/>
  <c r="M70" i="32"/>
  <c r="M68" i="32"/>
  <c r="M69" i="32"/>
  <c r="J62" i="32"/>
  <c r="F62" i="32"/>
  <c r="M62" i="32" s="1"/>
  <c r="J61" i="32"/>
  <c r="F61" i="32"/>
  <c r="M61" i="32" s="1"/>
  <c r="M7" i="32" l="1"/>
  <c r="L8" i="38"/>
  <c r="L6" i="27"/>
  <c r="L6" i="29"/>
  <c r="L13" i="26"/>
  <c r="L7" i="34"/>
  <c r="L7" i="39"/>
  <c r="L73" i="38"/>
  <c r="F61" i="38"/>
  <c r="L61" i="38" s="1"/>
  <c r="F62" i="38"/>
  <c r="L62" i="38" s="1"/>
  <c r="F63" i="38"/>
  <c r="L63" i="38" s="1"/>
  <c r="J62" i="38"/>
  <c r="J61" i="38"/>
  <c r="F39" i="38"/>
  <c r="J39" i="38"/>
  <c r="L39" i="38"/>
  <c r="C39" i="38"/>
  <c r="L60" i="27" l="1"/>
  <c r="L58" i="27"/>
  <c r="L59" i="27"/>
  <c r="G50" i="27"/>
  <c r="G51" i="27"/>
  <c r="J51" i="27"/>
  <c r="F51" i="27"/>
  <c r="L51" i="27" s="1"/>
  <c r="J50" i="27"/>
  <c r="F50" i="27"/>
  <c r="L50" i="27" s="1"/>
  <c r="I31" i="27"/>
  <c r="J52" i="29" l="1"/>
  <c r="F52" i="29"/>
  <c r="L52" i="29" s="1"/>
  <c r="J51" i="29"/>
  <c r="F51" i="29"/>
  <c r="L51" i="29" s="1"/>
  <c r="F83" i="29"/>
  <c r="F81" i="29"/>
  <c r="L60" i="29"/>
  <c r="L58" i="29"/>
  <c r="L59" i="29"/>
  <c r="I32" i="29"/>
  <c r="L74" i="26" l="1"/>
  <c r="L75" i="26"/>
  <c r="I59" i="26"/>
  <c r="I71" i="26" s="1"/>
  <c r="J67" i="26"/>
  <c r="F67" i="26"/>
  <c r="L67" i="26" s="1"/>
  <c r="J66" i="26"/>
  <c r="F66" i="26"/>
  <c r="L66" i="26" s="1"/>
  <c r="I42" i="26"/>
  <c r="I46" i="26" s="1"/>
  <c r="L78" i="34"/>
  <c r="L73" i="34"/>
  <c r="L72" i="34"/>
  <c r="I41" i="34"/>
  <c r="J63" i="34"/>
  <c r="F63" i="34"/>
  <c r="L63" i="34" s="1"/>
  <c r="J62" i="34"/>
  <c r="F62" i="34"/>
  <c r="L62" i="34" s="1"/>
  <c r="L72" i="39"/>
  <c r="L44" i="40"/>
  <c r="L43" i="40"/>
  <c r="L70" i="39"/>
  <c r="N66" i="39"/>
  <c r="J61" i="39"/>
  <c r="F61" i="39"/>
  <c r="L61" i="39" s="1"/>
  <c r="J60" i="39"/>
  <c r="F60" i="39"/>
  <c r="L60" i="39" s="1"/>
  <c r="I53" i="40" l="1"/>
  <c r="J52" i="40"/>
  <c r="F52" i="40"/>
  <c r="F53" i="40"/>
  <c r="L53" i="40" s="1"/>
  <c r="J45" i="40" l="1"/>
  <c r="J8" i="40"/>
  <c r="J75" i="41" l="1"/>
  <c r="J74" i="41"/>
  <c r="J56" i="41" l="1"/>
  <c r="F97" i="37" l="1"/>
  <c r="F94" i="37"/>
  <c r="F95" i="37"/>
  <c r="F96" i="37"/>
  <c r="F92" i="37"/>
  <c r="F88" i="37"/>
  <c r="F84" i="37"/>
  <c r="F83" i="37"/>
  <c r="F82" i="37"/>
  <c r="L77" i="37"/>
  <c r="F72" i="37"/>
  <c r="F68" i="37"/>
  <c r="L68" i="37" s="1"/>
  <c r="F57" i="37"/>
  <c r="L57" i="37" s="1"/>
  <c r="F58" i="37"/>
  <c r="L58" i="37" s="1"/>
  <c r="F59" i="37"/>
  <c r="L59" i="37" s="1"/>
  <c r="F60" i="37"/>
  <c r="L60" i="37" s="1"/>
  <c r="F61" i="37"/>
  <c r="L61" i="37" s="1"/>
  <c r="F62" i="37"/>
  <c r="L62" i="37" s="1"/>
  <c r="F63" i="37"/>
  <c r="L63" i="37" s="1"/>
  <c r="F64" i="37"/>
  <c r="L64" i="37" s="1"/>
  <c r="F65" i="37"/>
  <c r="L65" i="37" s="1"/>
  <c r="F56" i="37"/>
  <c r="L56" i="37" s="1"/>
  <c r="F52" i="37"/>
  <c r="L52" i="37" s="1"/>
  <c r="F50" i="37"/>
  <c r="L50" i="37" s="1"/>
  <c r="F51" i="37"/>
  <c r="L51" i="37" s="1"/>
  <c r="F49" i="37"/>
  <c r="J35" i="37"/>
  <c r="F35" i="37"/>
  <c r="L35" i="37" s="1"/>
  <c r="F45" i="37"/>
  <c r="L45" i="37" s="1"/>
  <c r="F40" i="37"/>
  <c r="L40" i="37" s="1"/>
  <c r="F41" i="37"/>
  <c r="L41" i="37" s="1"/>
  <c r="F42" i="37"/>
  <c r="L42" i="37" s="1"/>
  <c r="F43" i="37"/>
  <c r="L43" i="37" s="1"/>
  <c r="F44" i="37"/>
  <c r="L44" i="37" s="1"/>
  <c r="F29" i="37"/>
  <c r="L29" i="37" s="1"/>
  <c r="F30" i="37"/>
  <c r="L30" i="37" s="1"/>
  <c r="F31" i="37"/>
  <c r="L31" i="37" s="1"/>
  <c r="F32" i="37"/>
  <c r="L32" i="37" s="1"/>
  <c r="F33" i="37"/>
  <c r="F34" i="37"/>
  <c r="L34" i="37" s="1"/>
  <c r="F36" i="37"/>
  <c r="L36" i="37" s="1"/>
  <c r="F37" i="37"/>
  <c r="L37" i="37" s="1"/>
  <c r="F38" i="37"/>
  <c r="L38" i="37" s="1"/>
  <c r="F39" i="37"/>
  <c r="L39" i="37" s="1"/>
  <c r="F28" i="37"/>
  <c r="L28" i="37" s="1"/>
  <c r="J11" i="37"/>
  <c r="J12" i="37"/>
  <c r="F11" i="37"/>
  <c r="L11" i="37" s="1"/>
  <c r="F14" i="37"/>
  <c r="L14" i="37" s="1"/>
  <c r="F6" i="37"/>
  <c r="L6" i="37" s="1"/>
  <c r="F7" i="37"/>
  <c r="F8" i="37"/>
  <c r="L8" i="37" s="1"/>
  <c r="F9" i="37"/>
  <c r="L9" i="37" s="1"/>
  <c r="F10" i="37"/>
  <c r="L10" i="37" s="1"/>
  <c r="F12" i="37"/>
  <c r="L12" i="37" s="1"/>
  <c r="F13" i="37"/>
  <c r="L13" i="37" s="1"/>
  <c r="F5" i="37"/>
  <c r="L5" i="37" s="1"/>
  <c r="F62" i="28"/>
  <c r="F56" i="28"/>
  <c r="F52" i="28"/>
  <c r="F53" i="28"/>
  <c r="F55" i="28"/>
  <c r="N55" i="28" s="1"/>
  <c r="F49" i="28"/>
  <c r="J45" i="28"/>
  <c r="J41" i="28"/>
  <c r="J42" i="28"/>
  <c r="J43" i="28"/>
  <c r="J44" i="28"/>
  <c r="J40" i="28"/>
  <c r="F44" i="28"/>
  <c r="N44" i="28" s="1"/>
  <c r="F41" i="28"/>
  <c r="N41" i="28" s="1"/>
  <c r="F42" i="28"/>
  <c r="N42" i="28" s="1"/>
  <c r="F43" i="28"/>
  <c r="N43" i="28" s="1"/>
  <c r="F40" i="28"/>
  <c r="N40" i="28" s="1"/>
  <c r="F36" i="28"/>
  <c r="N36" i="28" s="1"/>
  <c r="F26" i="28"/>
  <c r="N26" i="28" s="1"/>
  <c r="F27" i="28"/>
  <c r="N27" i="28" s="1"/>
  <c r="F28" i="28"/>
  <c r="N28" i="28" s="1"/>
  <c r="F29" i="28"/>
  <c r="N29" i="28" s="1"/>
  <c r="F31" i="28"/>
  <c r="N31" i="28" s="1"/>
  <c r="F32" i="28"/>
  <c r="N32" i="28" s="1"/>
  <c r="F33" i="28"/>
  <c r="N33" i="28" s="1"/>
  <c r="F34" i="28"/>
  <c r="N34" i="28" s="1"/>
  <c r="F35" i="28"/>
  <c r="N35" i="28" s="1"/>
  <c r="F25" i="28"/>
  <c r="N25" i="28" s="1"/>
  <c r="F6" i="28"/>
  <c r="N6" i="28" s="1"/>
  <c r="J6" i="28"/>
  <c r="F14" i="28"/>
  <c r="N14" i="28" s="1"/>
  <c r="F7" i="28"/>
  <c r="N7" i="28" s="1"/>
  <c r="F8" i="28"/>
  <c r="N8" i="28" s="1"/>
  <c r="F9" i="28"/>
  <c r="N9" i="28" s="1"/>
  <c r="F10" i="28"/>
  <c r="N10" i="28" s="1"/>
  <c r="F12" i="28"/>
  <c r="N12" i="28" s="1"/>
  <c r="F5" i="28"/>
  <c r="N5" i="28" s="1"/>
  <c r="F95" i="31"/>
  <c r="F84" i="31"/>
  <c r="M84" i="31" s="1"/>
  <c r="F79" i="31"/>
  <c r="F70" i="31"/>
  <c r="F71" i="31"/>
  <c r="F72" i="31"/>
  <c r="M72" i="31" s="1"/>
  <c r="M73" i="31"/>
  <c r="M74" i="31"/>
  <c r="F69" i="31"/>
  <c r="J57" i="31"/>
  <c r="F57" i="31"/>
  <c r="M57" i="31" s="1"/>
  <c r="E53" i="31"/>
  <c r="F53" i="31" s="1"/>
  <c r="M53" i="31" s="1"/>
  <c r="F65" i="31"/>
  <c r="M65" i="31" s="1"/>
  <c r="F54" i="31"/>
  <c r="M54" i="31" s="1"/>
  <c r="F55" i="31"/>
  <c r="N55" i="31" s="1"/>
  <c r="F56" i="31"/>
  <c r="M56" i="31" s="1"/>
  <c r="F58" i="31"/>
  <c r="M58" i="31" s="1"/>
  <c r="F59" i="31"/>
  <c r="M59" i="31" s="1"/>
  <c r="F60" i="31"/>
  <c r="M60" i="31" s="1"/>
  <c r="F61" i="31"/>
  <c r="M61" i="31" s="1"/>
  <c r="F62" i="31"/>
  <c r="M62" i="31" s="1"/>
  <c r="F49" i="31"/>
  <c r="M49" i="31" s="1"/>
  <c r="F47" i="31"/>
  <c r="M47" i="31" s="1"/>
  <c r="F48" i="31"/>
  <c r="M48" i="31" s="1"/>
  <c r="F46" i="31"/>
  <c r="F42" i="31"/>
  <c r="M42" i="31" s="1"/>
  <c r="F28" i="31"/>
  <c r="M28" i="31" s="1"/>
  <c r="F29" i="31"/>
  <c r="M29" i="31" s="1"/>
  <c r="F30" i="31"/>
  <c r="M30" i="31" s="1"/>
  <c r="F31" i="31"/>
  <c r="M31" i="31" s="1"/>
  <c r="F32" i="31"/>
  <c r="M32" i="31" s="1"/>
  <c r="F33" i="31"/>
  <c r="F34" i="31"/>
  <c r="M34" i="31" s="1"/>
  <c r="F35" i="31"/>
  <c r="M35" i="31" s="1"/>
  <c r="F36" i="31"/>
  <c r="M36" i="31" s="1"/>
  <c r="F37" i="31"/>
  <c r="M37" i="31" s="1"/>
  <c r="F38" i="31"/>
  <c r="M38" i="31" s="1"/>
  <c r="F39" i="31"/>
  <c r="M39" i="31" s="1"/>
  <c r="F40" i="31"/>
  <c r="M40" i="31" s="1"/>
  <c r="F41" i="31"/>
  <c r="M41" i="31" s="1"/>
  <c r="F27" i="31"/>
  <c r="M27" i="31" s="1"/>
  <c r="J12" i="31"/>
  <c r="F12" i="31"/>
  <c r="M12" i="31" s="1"/>
  <c r="F13" i="31"/>
  <c r="M13" i="31" s="1"/>
  <c r="F6" i="31"/>
  <c r="M6" i="31" s="1"/>
  <c r="F7" i="31"/>
  <c r="F8" i="31"/>
  <c r="F9" i="31"/>
  <c r="M9" i="31" s="1"/>
  <c r="F10" i="31"/>
  <c r="M10" i="31" s="1"/>
  <c r="F11" i="31"/>
  <c r="M11" i="31" s="1"/>
  <c r="F5" i="31"/>
  <c r="M5" i="31" s="1"/>
  <c r="F94" i="32"/>
  <c r="F90" i="32"/>
  <c r="F91" i="32"/>
  <c r="F92" i="32"/>
  <c r="F93" i="32"/>
  <c r="F88" i="32"/>
  <c r="F84" i="32"/>
  <c r="F80" i="32"/>
  <c r="F81" i="32" s="1"/>
  <c r="F69" i="32"/>
  <c r="F70" i="32"/>
  <c r="F71" i="32"/>
  <c r="M71" i="32" s="1"/>
  <c r="F72" i="32"/>
  <c r="M72" i="32" s="1"/>
  <c r="F73" i="32"/>
  <c r="M73" i="32" s="1"/>
  <c r="F68" i="32"/>
  <c r="F64" i="32"/>
  <c r="M64" i="32" s="1"/>
  <c r="F52" i="32"/>
  <c r="M52" i="32" s="1"/>
  <c r="F53" i="32"/>
  <c r="M53" i="32" s="1"/>
  <c r="F54" i="32"/>
  <c r="M54" i="32" s="1"/>
  <c r="F55" i="32"/>
  <c r="F56" i="32"/>
  <c r="M56" i="32" s="1"/>
  <c r="F57" i="32"/>
  <c r="M57" i="32" s="1"/>
  <c r="F58" i="32"/>
  <c r="M58" i="32" s="1"/>
  <c r="F59" i="32"/>
  <c r="M59" i="32" s="1"/>
  <c r="F60" i="32"/>
  <c r="M60" i="32" s="1"/>
  <c r="F51" i="32"/>
  <c r="M51" i="32" s="1"/>
  <c r="F47" i="32"/>
  <c r="M47" i="32" s="1"/>
  <c r="F45" i="32"/>
  <c r="M45" i="32" s="1"/>
  <c r="F46" i="32"/>
  <c r="M46" i="32" s="1"/>
  <c r="F44" i="32"/>
  <c r="F40" i="32"/>
  <c r="M40" i="32" s="1"/>
  <c r="F36" i="32"/>
  <c r="M36" i="32" s="1"/>
  <c r="F37" i="32"/>
  <c r="M37" i="32" s="1"/>
  <c r="F38" i="32"/>
  <c r="M38" i="32" s="1"/>
  <c r="F39" i="32"/>
  <c r="M39" i="32" s="1"/>
  <c r="F27" i="32"/>
  <c r="M27" i="32" s="1"/>
  <c r="F28" i="32"/>
  <c r="M28" i="32" s="1"/>
  <c r="F29" i="32"/>
  <c r="M29" i="32" s="1"/>
  <c r="F30" i="32"/>
  <c r="M30" i="32" s="1"/>
  <c r="F31" i="32"/>
  <c r="M31" i="32" s="1"/>
  <c r="F32" i="32"/>
  <c r="F33" i="32"/>
  <c r="M33" i="32" s="1"/>
  <c r="F34" i="32"/>
  <c r="M34" i="32" s="1"/>
  <c r="F35" i="32"/>
  <c r="M35" i="32" s="1"/>
  <c r="F26" i="32"/>
  <c r="M26" i="32" s="1"/>
  <c r="F12" i="32"/>
  <c r="M12" i="32" s="1"/>
  <c r="F6" i="32"/>
  <c r="M6" i="32" s="1"/>
  <c r="F7" i="32"/>
  <c r="F8" i="32"/>
  <c r="M8" i="32" s="1"/>
  <c r="F9" i="32"/>
  <c r="M9" i="32" s="1"/>
  <c r="F10" i="32"/>
  <c r="M10" i="32" s="1"/>
  <c r="F11" i="32"/>
  <c r="M11" i="32" s="1"/>
  <c r="F5" i="32"/>
  <c r="M5" i="32" s="1"/>
  <c r="F88" i="38"/>
  <c r="F87" i="38"/>
  <c r="J77" i="38"/>
  <c r="L77" i="38"/>
  <c r="J76" i="38"/>
  <c r="F83" i="38"/>
  <c r="F82" i="38"/>
  <c r="F70" i="38"/>
  <c r="F71" i="38"/>
  <c r="F72" i="38"/>
  <c r="L74" i="38"/>
  <c r="F69" i="38"/>
  <c r="F65" i="38"/>
  <c r="L65" i="38" s="1"/>
  <c r="F53" i="38"/>
  <c r="L53" i="38" s="1"/>
  <c r="F54" i="38"/>
  <c r="L54" i="38" s="1"/>
  <c r="F55" i="38"/>
  <c r="F56" i="38"/>
  <c r="L56" i="38" s="1"/>
  <c r="F57" i="38"/>
  <c r="L57" i="38" s="1"/>
  <c r="F58" i="38"/>
  <c r="L58" i="38" s="1"/>
  <c r="F59" i="38"/>
  <c r="L59" i="38" s="1"/>
  <c r="F60" i="38"/>
  <c r="L60" i="38" s="1"/>
  <c r="F52" i="38"/>
  <c r="L52" i="38" s="1"/>
  <c r="F48" i="38"/>
  <c r="L48" i="38" s="1"/>
  <c r="F46" i="38"/>
  <c r="F47" i="38"/>
  <c r="L47" i="38" s="1"/>
  <c r="F45" i="38"/>
  <c r="F41" i="38"/>
  <c r="L41" i="38" s="1"/>
  <c r="F29" i="38"/>
  <c r="L29" i="38" s="1"/>
  <c r="F30" i="38"/>
  <c r="L30" i="38" s="1"/>
  <c r="F31" i="38"/>
  <c r="L31" i="38" s="1"/>
  <c r="F32" i="38"/>
  <c r="F33" i="38"/>
  <c r="L33" i="38" s="1"/>
  <c r="F34" i="38"/>
  <c r="L34" i="38" s="1"/>
  <c r="F35" i="38"/>
  <c r="L35" i="38" s="1"/>
  <c r="F36" i="38"/>
  <c r="L36" i="38" s="1"/>
  <c r="F37" i="38"/>
  <c r="L37" i="38" s="1"/>
  <c r="F38" i="38"/>
  <c r="L38" i="38" s="1"/>
  <c r="F40" i="38"/>
  <c r="L40" i="38" s="1"/>
  <c r="F28" i="38"/>
  <c r="L28" i="38" s="1"/>
  <c r="F14" i="38"/>
  <c r="L14" i="38" s="1"/>
  <c r="F13" i="38"/>
  <c r="L13" i="38" s="1"/>
  <c r="F5" i="38"/>
  <c r="L5" i="38" s="1"/>
  <c r="F6" i="38"/>
  <c r="L6" i="38" s="1"/>
  <c r="F7" i="38"/>
  <c r="L7" i="38" s="1"/>
  <c r="F8" i="38"/>
  <c r="F9" i="38"/>
  <c r="L9" i="38" s="1"/>
  <c r="F10" i="38"/>
  <c r="L10" i="38" s="1"/>
  <c r="F11" i="38"/>
  <c r="L11" i="38" s="1"/>
  <c r="F12" i="38"/>
  <c r="L12" i="38" s="1"/>
  <c r="D11" i="27"/>
  <c r="F69" i="29"/>
  <c r="F68" i="29"/>
  <c r="J63" i="29"/>
  <c r="F63" i="29"/>
  <c r="L63" i="29" s="1"/>
  <c r="F64" i="29"/>
  <c r="F59" i="29"/>
  <c r="F60" i="29"/>
  <c r="F61" i="29"/>
  <c r="L61" i="29" s="1"/>
  <c r="F62" i="29"/>
  <c r="L62" i="29" s="1"/>
  <c r="F58" i="29"/>
  <c r="F54" i="29"/>
  <c r="L54" i="29" s="1"/>
  <c r="F46" i="29"/>
  <c r="F47" i="29"/>
  <c r="L47" i="29" s="1"/>
  <c r="F48" i="29"/>
  <c r="L48" i="29" s="1"/>
  <c r="F49" i="29"/>
  <c r="L49" i="29" s="1"/>
  <c r="F50" i="29"/>
  <c r="L50" i="29" s="1"/>
  <c r="F53" i="29"/>
  <c r="L53" i="29" s="1"/>
  <c r="F45" i="29"/>
  <c r="L45" i="29" s="1"/>
  <c r="F41" i="29"/>
  <c r="L41" i="29" s="1"/>
  <c r="F39" i="29"/>
  <c r="L39" i="29" s="1"/>
  <c r="F40" i="29"/>
  <c r="L40" i="29" s="1"/>
  <c r="F38" i="29"/>
  <c r="F34" i="29"/>
  <c r="L34" i="29" s="1"/>
  <c r="F26" i="29"/>
  <c r="L26" i="29" s="1"/>
  <c r="F27" i="29"/>
  <c r="L27" i="29" s="1"/>
  <c r="F28" i="29"/>
  <c r="F29" i="29"/>
  <c r="L29" i="29" s="1"/>
  <c r="F30" i="29"/>
  <c r="L30" i="29" s="1"/>
  <c r="F31" i="29"/>
  <c r="L31" i="29" s="1"/>
  <c r="F32" i="29"/>
  <c r="L32" i="29" s="1"/>
  <c r="F33" i="29"/>
  <c r="L33" i="29" s="1"/>
  <c r="F25" i="29"/>
  <c r="L25" i="29" s="1"/>
  <c r="F11" i="29"/>
  <c r="L11" i="29" s="1"/>
  <c r="F6" i="29"/>
  <c r="F7" i="29"/>
  <c r="L7" i="29" s="1"/>
  <c r="F8" i="29"/>
  <c r="L8" i="29" s="1"/>
  <c r="F9" i="29"/>
  <c r="L9" i="29" s="1"/>
  <c r="F5" i="29"/>
  <c r="L5" i="29" s="1"/>
  <c r="F99" i="26"/>
  <c r="F95" i="26"/>
  <c r="F96" i="26"/>
  <c r="F97" i="26"/>
  <c r="F98" i="26"/>
  <c r="F94" i="26"/>
  <c r="F85" i="26"/>
  <c r="F84" i="26"/>
  <c r="F89" i="26"/>
  <c r="J79" i="26"/>
  <c r="L79" i="26"/>
  <c r="F80" i="26"/>
  <c r="F81" i="26" s="1"/>
  <c r="L78" i="26"/>
  <c r="F70" i="26"/>
  <c r="L70" i="26" s="1"/>
  <c r="F57" i="26"/>
  <c r="L57" i="26" s="1"/>
  <c r="F58" i="26"/>
  <c r="L58" i="26" s="1"/>
  <c r="F59" i="26"/>
  <c r="L59" i="26" s="1"/>
  <c r="F60" i="26"/>
  <c r="L60" i="26" s="1"/>
  <c r="F61" i="26"/>
  <c r="L61" i="26" s="1"/>
  <c r="F62" i="26"/>
  <c r="L62" i="26" s="1"/>
  <c r="F63" i="26"/>
  <c r="L63" i="26" s="1"/>
  <c r="F64" i="26"/>
  <c r="L64" i="26" s="1"/>
  <c r="F65" i="26"/>
  <c r="L65" i="26" s="1"/>
  <c r="F69" i="26"/>
  <c r="L69" i="26" s="1"/>
  <c r="F56" i="26"/>
  <c r="L56" i="26" s="1"/>
  <c r="F52" i="26"/>
  <c r="L52" i="26" s="1"/>
  <c r="F50" i="26"/>
  <c r="L50" i="26" s="1"/>
  <c r="F51" i="26"/>
  <c r="L51" i="26" s="1"/>
  <c r="F49" i="26"/>
  <c r="F45" i="26"/>
  <c r="L45" i="26" s="1"/>
  <c r="F42" i="26"/>
  <c r="L42" i="26" s="1"/>
  <c r="F43" i="26"/>
  <c r="L43" i="26" s="1"/>
  <c r="F44" i="26"/>
  <c r="L44" i="26" s="1"/>
  <c r="F32" i="26"/>
  <c r="L32" i="26" s="1"/>
  <c r="F33" i="26"/>
  <c r="L33" i="26" s="1"/>
  <c r="F34" i="26"/>
  <c r="L34" i="26" s="1"/>
  <c r="F35" i="26"/>
  <c r="L35" i="26" s="1"/>
  <c r="F36" i="26"/>
  <c r="F37" i="26"/>
  <c r="L37" i="26" s="1"/>
  <c r="F38" i="26"/>
  <c r="L38" i="26" s="1"/>
  <c r="F39" i="26"/>
  <c r="L39" i="26" s="1"/>
  <c r="F40" i="26"/>
  <c r="L40" i="26" s="1"/>
  <c r="F41" i="26"/>
  <c r="L41" i="26" s="1"/>
  <c r="F31" i="26"/>
  <c r="L31" i="26" s="1"/>
  <c r="J7" i="26"/>
  <c r="J8" i="26"/>
  <c r="J9" i="26"/>
  <c r="J10" i="26"/>
  <c r="F10" i="26"/>
  <c r="L10" i="26" s="1"/>
  <c r="F17" i="26"/>
  <c r="L17" i="26" s="1"/>
  <c r="F16" i="26"/>
  <c r="L16" i="26" s="1"/>
  <c r="F7" i="26"/>
  <c r="L7" i="26" s="1"/>
  <c r="F8" i="26"/>
  <c r="L8" i="26" s="1"/>
  <c r="F9" i="26"/>
  <c r="L9" i="26" s="1"/>
  <c r="F11" i="26"/>
  <c r="L11" i="26" s="1"/>
  <c r="F12" i="26"/>
  <c r="L12" i="26" s="1"/>
  <c r="F13" i="26"/>
  <c r="F14" i="26"/>
  <c r="L14" i="26" s="1"/>
  <c r="F15" i="26"/>
  <c r="L15" i="26" s="1"/>
  <c r="F6" i="26"/>
  <c r="L6" i="26" s="1"/>
  <c r="F98" i="34"/>
  <c r="F99" i="34"/>
  <c r="F100" i="34"/>
  <c r="F96" i="34"/>
  <c r="F88" i="34"/>
  <c r="F84" i="34"/>
  <c r="F83" i="34"/>
  <c r="J75" i="34"/>
  <c r="F72" i="34"/>
  <c r="F73" i="34"/>
  <c r="L74" i="34"/>
  <c r="F71" i="34"/>
  <c r="F67" i="34"/>
  <c r="L67" i="34" s="1"/>
  <c r="F56" i="34"/>
  <c r="L56" i="34" s="1"/>
  <c r="F57" i="34"/>
  <c r="L57" i="34" s="1"/>
  <c r="F58" i="34"/>
  <c r="L58" i="34" s="1"/>
  <c r="F59" i="34"/>
  <c r="L59" i="34" s="1"/>
  <c r="F60" i="34"/>
  <c r="L60" i="34" s="1"/>
  <c r="F61" i="34"/>
  <c r="L61" i="34" s="1"/>
  <c r="F65" i="34"/>
  <c r="L65" i="34" s="1"/>
  <c r="F66" i="34"/>
  <c r="L66" i="34" s="1"/>
  <c r="F55" i="34"/>
  <c r="L55" i="34" s="1"/>
  <c r="F51" i="34"/>
  <c r="L51" i="34" s="1"/>
  <c r="F49" i="34"/>
  <c r="L49" i="34" s="1"/>
  <c r="F50" i="34"/>
  <c r="L50" i="34" s="1"/>
  <c r="F48" i="34"/>
  <c r="J28" i="34"/>
  <c r="J29" i="34"/>
  <c r="J30" i="34"/>
  <c r="J31" i="34"/>
  <c r="J32" i="34"/>
  <c r="J33" i="34"/>
  <c r="J34" i="34"/>
  <c r="J35" i="34"/>
  <c r="J36" i="34"/>
  <c r="J37" i="34"/>
  <c r="J38" i="34"/>
  <c r="J40" i="34"/>
  <c r="J41" i="34"/>
  <c r="F44" i="34"/>
  <c r="L44" i="34" s="1"/>
  <c r="F43" i="34"/>
  <c r="L43" i="34" s="1"/>
  <c r="F39" i="34"/>
  <c r="L39" i="34" s="1"/>
  <c r="F40" i="34"/>
  <c r="L40" i="34" s="1"/>
  <c r="F41" i="34"/>
  <c r="L41" i="34" s="1"/>
  <c r="F42" i="34"/>
  <c r="L42" i="34" s="1"/>
  <c r="F29" i="34"/>
  <c r="L29" i="34" s="1"/>
  <c r="F30" i="34"/>
  <c r="L30" i="34" s="1"/>
  <c r="F31" i="34"/>
  <c r="L31" i="34" s="1"/>
  <c r="F32" i="34"/>
  <c r="L32" i="34" s="1"/>
  <c r="F33" i="34"/>
  <c r="L33" i="34" s="1"/>
  <c r="F34" i="34"/>
  <c r="F35" i="34"/>
  <c r="L35" i="34" s="1"/>
  <c r="F36" i="34"/>
  <c r="L36" i="34" s="1"/>
  <c r="F37" i="34"/>
  <c r="L37" i="34" s="1"/>
  <c r="F38" i="34"/>
  <c r="L38" i="34" s="1"/>
  <c r="F28" i="34"/>
  <c r="N55" i="32" l="1"/>
  <c r="M55" i="32"/>
  <c r="J46" i="28"/>
  <c r="J18" i="28" s="1"/>
  <c r="F14" i="34"/>
  <c r="L14" i="34" s="1"/>
  <c r="F6" i="34"/>
  <c r="L6" i="34" s="1"/>
  <c r="F7" i="34"/>
  <c r="F8" i="34"/>
  <c r="L8" i="34" s="1"/>
  <c r="F12" i="34"/>
  <c r="L12" i="34" s="1"/>
  <c r="F13" i="34"/>
  <c r="L13" i="34" s="1"/>
  <c r="F5" i="34"/>
  <c r="L5" i="34" s="1"/>
  <c r="F56" i="40"/>
  <c r="F58" i="40"/>
  <c r="F57" i="40"/>
  <c r="E59" i="40"/>
  <c r="D59" i="40"/>
  <c r="F51" i="40"/>
  <c r="F48" i="40"/>
  <c r="F44" i="40"/>
  <c r="F45" i="40"/>
  <c r="L45" i="40" s="1"/>
  <c r="F46" i="40"/>
  <c r="M46" i="40" s="1"/>
  <c r="F47" i="40"/>
  <c r="L47" i="40" s="1"/>
  <c r="F43" i="40"/>
  <c r="F40" i="40"/>
  <c r="L40" i="40" s="1"/>
  <c r="F25" i="40"/>
  <c r="L25" i="40" s="1"/>
  <c r="F26" i="40"/>
  <c r="L26" i="40" s="1"/>
  <c r="F27" i="40"/>
  <c r="L27" i="40" s="1"/>
  <c r="F28" i="40"/>
  <c r="L28" i="40" s="1"/>
  <c r="F29" i="40"/>
  <c r="L29" i="40" s="1"/>
  <c r="F30" i="40"/>
  <c r="L30" i="40" s="1"/>
  <c r="F31" i="40"/>
  <c r="L31" i="40" s="1"/>
  <c r="F32" i="40"/>
  <c r="L32" i="40" s="1"/>
  <c r="F33" i="40"/>
  <c r="L33" i="40" s="1"/>
  <c r="F34" i="40"/>
  <c r="L34" i="40" s="1"/>
  <c r="F35" i="40"/>
  <c r="L35" i="40" s="1"/>
  <c r="F36" i="40"/>
  <c r="L36" i="40" s="1"/>
  <c r="F37" i="40"/>
  <c r="L37" i="40" s="1"/>
  <c r="F38" i="40"/>
  <c r="L38" i="40" s="1"/>
  <c r="F39" i="40"/>
  <c r="L39" i="40" s="1"/>
  <c r="F24" i="40"/>
  <c r="L24" i="40" s="1"/>
  <c r="F8" i="40"/>
  <c r="F11" i="40"/>
  <c r="F6" i="40"/>
  <c r="L6" i="40" s="1"/>
  <c r="F7" i="40"/>
  <c r="F10" i="40"/>
  <c r="F5" i="40"/>
  <c r="F92" i="41"/>
  <c r="F91" i="41"/>
  <c r="F95" i="41"/>
  <c r="F87" i="41"/>
  <c r="F82" i="41"/>
  <c r="F83" i="41"/>
  <c r="F84" i="41"/>
  <c r="M84" i="41" s="1"/>
  <c r="F85" i="41"/>
  <c r="M85" i="41" s="1"/>
  <c r="F86" i="41"/>
  <c r="F81" i="41"/>
  <c r="M77" i="41"/>
  <c r="F69" i="41"/>
  <c r="M69" i="41" s="1"/>
  <c r="F70" i="41"/>
  <c r="F71" i="41"/>
  <c r="M71" i="41" s="1"/>
  <c r="F72" i="41"/>
  <c r="M72" i="41" s="1"/>
  <c r="M73" i="41"/>
  <c r="M76" i="41"/>
  <c r="F68" i="41"/>
  <c r="M68" i="41" s="1"/>
  <c r="F64" i="41"/>
  <c r="N64" i="41" s="1"/>
  <c r="F62" i="41"/>
  <c r="N62" i="41" s="1"/>
  <c r="F63" i="41"/>
  <c r="N63" i="41" s="1"/>
  <c r="F61" i="41"/>
  <c r="F57" i="41"/>
  <c r="M57" i="41" s="1"/>
  <c r="F38" i="41"/>
  <c r="M38" i="41" s="1"/>
  <c r="F39" i="41"/>
  <c r="M39" i="41" s="1"/>
  <c r="F40" i="41"/>
  <c r="M40" i="41" s="1"/>
  <c r="F41" i="41"/>
  <c r="M41" i="41" s="1"/>
  <c r="F42" i="41"/>
  <c r="M42" i="41" s="1"/>
  <c r="F43" i="41"/>
  <c r="M43" i="41" s="1"/>
  <c r="F44" i="41"/>
  <c r="M44" i="41" s="1"/>
  <c r="F45" i="41"/>
  <c r="M45" i="41" s="1"/>
  <c r="F46" i="41"/>
  <c r="M46" i="41" s="1"/>
  <c r="F47" i="41"/>
  <c r="M47" i="41" s="1"/>
  <c r="F48" i="41"/>
  <c r="M48" i="41" s="1"/>
  <c r="F50" i="41"/>
  <c r="M50" i="41" s="1"/>
  <c r="F51" i="41"/>
  <c r="M51" i="41" s="1"/>
  <c r="F52" i="41"/>
  <c r="M52" i="41" s="1"/>
  <c r="F53" i="41"/>
  <c r="M53" i="41" s="1"/>
  <c r="F54" i="41"/>
  <c r="M54" i="41" s="1"/>
  <c r="F55" i="41"/>
  <c r="N55" i="41" s="1"/>
  <c r="F56" i="41"/>
  <c r="F37" i="41"/>
  <c r="H56" i="41"/>
  <c r="F2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M17" i="41" s="1"/>
  <c r="F18" i="41"/>
  <c r="F20" i="41"/>
  <c r="F21" i="41"/>
  <c r="F22" i="41"/>
  <c r="F23" i="41"/>
  <c r="M23" i="41" s="1"/>
  <c r="F24" i="41"/>
  <c r="F5" i="41"/>
  <c r="F59" i="40" l="1"/>
  <c r="F100" i="39"/>
  <c r="F96" i="39"/>
  <c r="F97" i="39"/>
  <c r="F99" i="39"/>
  <c r="F95" i="39"/>
  <c r="F87" i="39"/>
  <c r="F83" i="39"/>
  <c r="F82" i="39"/>
  <c r="F71" i="39"/>
  <c r="F72" i="39"/>
  <c r="F73" i="39"/>
  <c r="L73" i="39" s="1"/>
  <c r="L74" i="39"/>
  <c r="L75" i="39"/>
  <c r="F70" i="39"/>
  <c r="F66" i="39"/>
  <c r="L66" i="39" s="1"/>
  <c r="F53" i="39"/>
  <c r="L53" i="39" s="1"/>
  <c r="F54" i="39"/>
  <c r="L54" i="39" s="1"/>
  <c r="F55" i="39"/>
  <c r="L55" i="39" s="1"/>
  <c r="F57" i="39"/>
  <c r="L57" i="39" s="1"/>
  <c r="F58" i="39"/>
  <c r="L58" i="39" s="1"/>
  <c r="F59" i="39"/>
  <c r="L59" i="39" s="1"/>
  <c r="F63" i="39"/>
  <c r="L63" i="39" s="1"/>
  <c r="F64" i="39"/>
  <c r="L64" i="39" s="1"/>
  <c r="F65" i="39"/>
  <c r="L65" i="39" s="1"/>
  <c r="F52" i="39"/>
  <c r="L52" i="39" s="1"/>
  <c r="F48" i="39"/>
  <c r="L48" i="39" s="1"/>
  <c r="F46" i="39"/>
  <c r="L46" i="39" s="1"/>
  <c r="F47" i="39"/>
  <c r="L47" i="39" s="1"/>
  <c r="F45" i="39"/>
  <c r="F41" i="39"/>
  <c r="L41" i="39" s="1"/>
  <c r="F26" i="39"/>
  <c r="L26" i="39" s="1"/>
  <c r="F27" i="39"/>
  <c r="L27" i="39" s="1"/>
  <c r="F28" i="39"/>
  <c r="L28" i="39" s="1"/>
  <c r="F29" i="39"/>
  <c r="L29" i="39" s="1"/>
  <c r="F30" i="39"/>
  <c r="L30" i="39" s="1"/>
  <c r="F31" i="39"/>
  <c r="F32" i="39"/>
  <c r="L32" i="39" s="1"/>
  <c r="F33" i="39"/>
  <c r="L33" i="39" s="1"/>
  <c r="F34" i="39"/>
  <c r="L34" i="39" s="1"/>
  <c r="F35" i="39"/>
  <c r="L35" i="39" s="1"/>
  <c r="F36" i="39"/>
  <c r="L36" i="39" s="1"/>
  <c r="F37" i="39"/>
  <c r="L37" i="39" s="1"/>
  <c r="F38" i="39"/>
  <c r="L38" i="39" s="1"/>
  <c r="F39" i="39"/>
  <c r="L39" i="39" s="1"/>
  <c r="F40" i="39"/>
  <c r="L40" i="39" s="1"/>
  <c r="F25" i="39"/>
  <c r="L25" i="39" s="1"/>
  <c r="J74" i="39"/>
  <c r="E8" i="39"/>
  <c r="F8" i="39" s="1"/>
  <c r="L8" i="39" s="1"/>
  <c r="F11" i="39"/>
  <c r="L11" i="39" s="1"/>
  <c r="F6" i="39"/>
  <c r="L6" i="39" s="1"/>
  <c r="F7" i="39"/>
  <c r="F9" i="39"/>
  <c r="L9" i="39" s="1"/>
  <c r="F10" i="39"/>
  <c r="L10" i="39" s="1"/>
  <c r="F5" i="39"/>
  <c r="L5" i="39" s="1"/>
  <c r="I18" i="41" l="1"/>
  <c r="G75" i="27"/>
  <c r="C6" i="42" l="1"/>
  <c r="C7" i="42"/>
  <c r="C13" i="42"/>
  <c r="C27" i="42"/>
  <c r="C28" i="42"/>
  <c r="C29" i="42"/>
  <c r="C33" i="42"/>
  <c r="C38" i="42"/>
  <c r="C40" i="42"/>
  <c r="C41" i="42"/>
  <c r="C42" i="42"/>
  <c r="C43" i="42"/>
  <c r="C44" i="42"/>
  <c r="C45" i="42"/>
  <c r="C46" i="42"/>
  <c r="C50" i="42"/>
  <c r="C51" i="42"/>
  <c r="C52" i="42"/>
  <c r="C53" i="42"/>
  <c r="C57" i="42"/>
  <c r="C58" i="42"/>
  <c r="C59" i="42"/>
  <c r="C60" i="42"/>
  <c r="C61" i="42"/>
  <c r="C62" i="42"/>
  <c r="C63" i="42"/>
  <c r="C64" i="42"/>
  <c r="C65" i="42"/>
  <c r="C68" i="42"/>
  <c r="C69" i="42"/>
  <c r="C74" i="42"/>
  <c r="C75" i="42"/>
  <c r="C76" i="42"/>
  <c r="C77" i="42"/>
  <c r="C78" i="42"/>
  <c r="C79" i="42"/>
  <c r="C80" i="42"/>
  <c r="C87" i="42"/>
  <c r="C20" i="42" s="1"/>
  <c r="C91" i="42"/>
  <c r="C21" i="42" s="1"/>
  <c r="C104" i="42"/>
  <c r="C22" i="42" s="1"/>
  <c r="F10" i="42"/>
  <c r="J10" i="42"/>
  <c r="C47" i="42" l="1"/>
  <c r="C16" i="42" s="1"/>
  <c r="C71" i="42"/>
  <c r="C18" i="42" s="1"/>
  <c r="C54" i="42"/>
  <c r="C17" i="42" s="1"/>
  <c r="C14" i="42"/>
  <c r="C82" i="42"/>
  <c r="C19" i="42" s="1"/>
  <c r="C23" i="42" s="1"/>
  <c r="C25" i="42" s="1"/>
  <c r="G67" i="27"/>
  <c r="G63" i="27"/>
  <c r="G59" i="27"/>
  <c r="G60" i="27"/>
  <c r="G61" i="27"/>
  <c r="G62" i="27"/>
  <c r="G58" i="27"/>
  <c r="G54" i="27" l="1"/>
  <c r="L54" i="27" s="1"/>
  <c r="G45" i="27"/>
  <c r="L45" i="27" s="1"/>
  <c r="G46" i="27"/>
  <c r="L46" i="27" s="1"/>
  <c r="G47" i="27"/>
  <c r="L47" i="27" s="1"/>
  <c r="G48" i="27"/>
  <c r="L48" i="27" s="1"/>
  <c r="G49" i="27"/>
  <c r="L49" i="27" s="1"/>
  <c r="G53" i="27"/>
  <c r="L53" i="27" s="1"/>
  <c r="G44" i="27"/>
  <c r="L44" i="27" s="1"/>
  <c r="G40" i="27"/>
  <c r="G38" i="27"/>
  <c r="G39" i="27"/>
  <c r="G37" i="27"/>
  <c r="G33" i="27"/>
  <c r="L33" i="27" s="1"/>
  <c r="G24" i="27"/>
  <c r="L24" i="27" s="1"/>
  <c r="G25" i="27"/>
  <c r="L25" i="27" s="1"/>
  <c r="G26" i="27"/>
  <c r="L26" i="27" s="1"/>
  <c r="G27" i="27"/>
  <c r="G28" i="27"/>
  <c r="L28" i="27" s="1"/>
  <c r="G29" i="27"/>
  <c r="L29" i="27" s="1"/>
  <c r="G30" i="27"/>
  <c r="L30" i="27" s="1"/>
  <c r="G31" i="27"/>
  <c r="L31" i="27" s="1"/>
  <c r="G32" i="27"/>
  <c r="L32" i="27" s="1"/>
  <c r="G23" i="27"/>
  <c r="L23" i="27" s="1"/>
  <c r="G10" i="27"/>
  <c r="L10" i="27" s="1"/>
  <c r="G6" i="27"/>
  <c r="G7" i="27"/>
  <c r="L7" i="27" s="1"/>
  <c r="G8" i="27"/>
  <c r="L8" i="27" s="1"/>
  <c r="G9" i="27"/>
  <c r="L9" i="27" s="1"/>
  <c r="G5" i="27"/>
  <c r="L5" i="27" s="1"/>
  <c r="E86" i="42" l="1"/>
  <c r="F103" i="42" l="1"/>
  <c r="F99" i="42"/>
  <c r="F100" i="42"/>
  <c r="F102" i="42"/>
  <c r="F98" i="42"/>
  <c r="F90" i="42"/>
  <c r="F86" i="42"/>
  <c r="F85" i="42"/>
  <c r="F81" i="42"/>
  <c r="F75" i="42"/>
  <c r="F76" i="42"/>
  <c r="F78" i="42"/>
  <c r="F79" i="42"/>
  <c r="F80" i="42"/>
  <c r="F74" i="42"/>
  <c r="F70" i="42"/>
  <c r="F58" i="42"/>
  <c r="F59" i="42"/>
  <c r="F60" i="42"/>
  <c r="F63" i="42"/>
  <c r="F64" i="42"/>
  <c r="F65" i="42"/>
  <c r="F66" i="42"/>
  <c r="F67" i="42"/>
  <c r="F68" i="42"/>
  <c r="F69" i="42"/>
  <c r="F57" i="42"/>
  <c r="F53" i="42"/>
  <c r="F51" i="42"/>
  <c r="F52" i="42"/>
  <c r="F50" i="42"/>
  <c r="J39" i="42"/>
  <c r="F46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4" i="42"/>
  <c r="F45" i="42"/>
  <c r="F27" i="42"/>
  <c r="F13" i="42"/>
  <c r="F6" i="42"/>
  <c r="F7" i="42"/>
  <c r="F8" i="42"/>
  <c r="F9" i="42"/>
  <c r="F11" i="42"/>
  <c r="F12" i="42"/>
  <c r="F5" i="42"/>
  <c r="I99" i="42" l="1"/>
  <c r="I103" i="42" l="1"/>
  <c r="E62" i="42" l="1"/>
  <c r="F62" i="42" s="1"/>
  <c r="N28" i="42"/>
  <c r="N30" i="42" s="1"/>
  <c r="F43" i="42" l="1"/>
  <c r="J31" i="42"/>
  <c r="J66" i="42" l="1"/>
  <c r="J67" i="42"/>
  <c r="D62" i="42" l="1"/>
  <c r="D71" i="42"/>
  <c r="D43" i="42"/>
  <c r="I14" i="42" l="1"/>
  <c r="I190" i="47"/>
  <c r="C190" i="47"/>
  <c r="J36" i="42" l="1"/>
  <c r="J35" i="42"/>
  <c r="J34" i="42"/>
  <c r="A43" i="47" l="1"/>
  <c r="A65" i="47" s="1"/>
  <c r="A83" i="47" s="1"/>
  <c r="A102" i="47" s="1"/>
  <c r="A120" i="47" s="1"/>
  <c r="A139" i="47" s="1"/>
  <c r="A157" i="47" s="1"/>
  <c r="A175" i="47" s="1"/>
  <c r="A42" i="47"/>
  <c r="A64" i="47" s="1"/>
  <c r="A82" i="47" s="1"/>
  <c r="A101" i="47" s="1"/>
  <c r="A119" i="47" s="1"/>
  <c r="A138" i="47" s="1"/>
  <c r="A156" i="47" s="1"/>
  <c r="A174" i="47" s="1"/>
  <c r="C103" i="48"/>
  <c r="C21" i="48" s="1"/>
  <c r="J102" i="48"/>
  <c r="F102" i="48"/>
  <c r="J101" i="48"/>
  <c r="H101" i="48"/>
  <c r="F101" i="48"/>
  <c r="J100" i="48"/>
  <c r="H100" i="48"/>
  <c r="E100" i="48"/>
  <c r="F100" i="48" s="1"/>
  <c r="J99" i="48"/>
  <c r="F99" i="48"/>
  <c r="F98" i="48"/>
  <c r="J97" i="48"/>
  <c r="F97" i="48"/>
  <c r="D95" i="48"/>
  <c r="H95" i="48" s="1"/>
  <c r="I95" i="48" s="1"/>
  <c r="J95" i="48" s="1"/>
  <c r="D94" i="48"/>
  <c r="E94" i="48" s="1"/>
  <c r="D93" i="48"/>
  <c r="H93" i="48" s="1"/>
  <c r="D92" i="48"/>
  <c r="E92" i="48" s="1"/>
  <c r="F92" i="48" s="1"/>
  <c r="I90" i="48"/>
  <c r="I20" i="48" s="1"/>
  <c r="H90" i="48"/>
  <c r="H20" i="48" s="1"/>
  <c r="E90" i="48"/>
  <c r="I156" i="47" s="1"/>
  <c r="D90" i="48"/>
  <c r="C156" i="47" s="1"/>
  <c r="C90" i="48"/>
  <c r="C20" i="48" s="1"/>
  <c r="J89" i="48"/>
  <c r="J90" i="48" s="1"/>
  <c r="J20" i="48" s="1"/>
  <c r="F89" i="48"/>
  <c r="F90" i="48" s="1"/>
  <c r="H156" i="47" s="1"/>
  <c r="I86" i="48"/>
  <c r="I19" i="48" s="1"/>
  <c r="H86" i="48"/>
  <c r="H19" i="48" s="1"/>
  <c r="E86" i="48"/>
  <c r="E19" i="48" s="1"/>
  <c r="F19" i="48" s="1"/>
  <c r="D86" i="48"/>
  <c r="D19" i="48" s="1"/>
  <c r="C86" i="48"/>
  <c r="C19" i="48" s="1"/>
  <c r="J85" i="48"/>
  <c r="F85" i="48"/>
  <c r="J84" i="48"/>
  <c r="I81" i="48"/>
  <c r="I18" i="48" s="1"/>
  <c r="E81" i="48"/>
  <c r="I119" i="47" s="1"/>
  <c r="D81" i="48"/>
  <c r="C119" i="47" s="1"/>
  <c r="J80" i="48"/>
  <c r="J79" i="48"/>
  <c r="H79" i="48"/>
  <c r="F79" i="48"/>
  <c r="C79" i="48"/>
  <c r="J78" i="48"/>
  <c r="H78" i="48"/>
  <c r="C78" i="48"/>
  <c r="J77" i="48"/>
  <c r="H77" i="48"/>
  <c r="C77" i="48"/>
  <c r="J76" i="48"/>
  <c r="H76" i="48"/>
  <c r="C76" i="48"/>
  <c r="J75" i="48"/>
  <c r="H75" i="48"/>
  <c r="C75" i="48"/>
  <c r="J74" i="48"/>
  <c r="H74" i="48"/>
  <c r="C74" i="48"/>
  <c r="J73" i="48"/>
  <c r="H73" i="48"/>
  <c r="C73" i="48"/>
  <c r="D70" i="48"/>
  <c r="C101" i="47" s="1"/>
  <c r="J69" i="48"/>
  <c r="H69" i="48"/>
  <c r="J68" i="48"/>
  <c r="H68" i="48"/>
  <c r="J67" i="48"/>
  <c r="H67" i="48"/>
  <c r="C67" i="48"/>
  <c r="J66" i="48"/>
  <c r="H66" i="48"/>
  <c r="C66" i="48"/>
  <c r="J65" i="48"/>
  <c r="C65" i="48"/>
  <c r="J62" i="48"/>
  <c r="H62" i="48"/>
  <c r="C62" i="48"/>
  <c r="J61" i="48"/>
  <c r="H61" i="48"/>
  <c r="C61" i="48"/>
  <c r="J60" i="48"/>
  <c r="H60" i="48"/>
  <c r="C60" i="48"/>
  <c r="H59" i="48"/>
  <c r="I59" i="48" s="1"/>
  <c r="E59" i="48"/>
  <c r="E70" i="48" s="1"/>
  <c r="E17" i="48" s="1"/>
  <c r="F17" i="48" s="1"/>
  <c r="C59" i="48"/>
  <c r="J58" i="48"/>
  <c r="H58" i="48"/>
  <c r="C58" i="48"/>
  <c r="J57" i="48"/>
  <c r="H57" i="48"/>
  <c r="C57" i="48"/>
  <c r="J56" i="48"/>
  <c r="H56" i="48"/>
  <c r="C56" i="48"/>
  <c r="J55" i="48"/>
  <c r="H55" i="48"/>
  <c r="C55" i="48"/>
  <c r="I52" i="48"/>
  <c r="J52" i="48" s="1"/>
  <c r="J16" i="48" s="1"/>
  <c r="E52" i="48"/>
  <c r="E16" i="48" s="1"/>
  <c r="F16" i="48" s="1"/>
  <c r="D52" i="48"/>
  <c r="D16" i="48" s="1"/>
  <c r="J51" i="48"/>
  <c r="H51" i="48"/>
  <c r="C51" i="48"/>
  <c r="J50" i="48"/>
  <c r="H50" i="48"/>
  <c r="N50" i="48"/>
  <c r="C50" i="48"/>
  <c r="J49" i="48"/>
  <c r="H49" i="48"/>
  <c r="N49" i="48"/>
  <c r="C49" i="48"/>
  <c r="J48" i="48"/>
  <c r="H48" i="48"/>
  <c r="C48" i="48"/>
  <c r="I45" i="48"/>
  <c r="I15" i="48" s="1"/>
  <c r="E45" i="48"/>
  <c r="I64" i="47" s="1"/>
  <c r="D45" i="48"/>
  <c r="D15" i="48" s="1"/>
  <c r="J44" i="48"/>
  <c r="H44" i="48"/>
  <c r="C44" i="48"/>
  <c r="J43" i="48"/>
  <c r="H43" i="48"/>
  <c r="J42" i="48"/>
  <c r="H42" i="48"/>
  <c r="C42" i="48"/>
  <c r="J41" i="48"/>
  <c r="H41" i="48"/>
  <c r="C41" i="48"/>
  <c r="J40" i="48"/>
  <c r="H40" i="48"/>
  <c r="C40" i="48"/>
  <c r="J39" i="48"/>
  <c r="H39" i="48"/>
  <c r="C39" i="48"/>
  <c r="J38" i="48"/>
  <c r="H38" i="48"/>
  <c r="C38" i="48"/>
  <c r="J37" i="48"/>
  <c r="H37" i="48"/>
  <c r="C37" i="48"/>
  <c r="J36" i="48"/>
  <c r="H36" i="48"/>
  <c r="C36" i="48"/>
  <c r="J34" i="48"/>
  <c r="H34" i="48"/>
  <c r="C34" i="48"/>
  <c r="J33" i="48"/>
  <c r="J32" i="48"/>
  <c r="H32" i="48"/>
  <c r="C32" i="48"/>
  <c r="J31" i="48"/>
  <c r="H31" i="48"/>
  <c r="J30" i="48"/>
  <c r="H30" i="48"/>
  <c r="N30" i="48"/>
  <c r="J29" i="48"/>
  <c r="H29" i="48"/>
  <c r="C29" i="48"/>
  <c r="J28" i="48"/>
  <c r="H28" i="48"/>
  <c r="C28" i="48"/>
  <c r="J27" i="48"/>
  <c r="H27" i="48"/>
  <c r="C27" i="48"/>
  <c r="J26" i="48"/>
  <c r="C26" i="48"/>
  <c r="I13" i="48"/>
  <c r="J12" i="48"/>
  <c r="H12" i="48"/>
  <c r="C12" i="48"/>
  <c r="J11" i="48"/>
  <c r="J10" i="48"/>
  <c r="J9" i="48"/>
  <c r="J8" i="48"/>
  <c r="H8" i="48"/>
  <c r="J7" i="48"/>
  <c r="H7" i="48"/>
  <c r="E13" i="48"/>
  <c r="C7" i="48"/>
  <c r="J6" i="48"/>
  <c r="H6" i="48"/>
  <c r="C6" i="48"/>
  <c r="J5" i="48"/>
  <c r="A41" i="47"/>
  <c r="A63" i="47" s="1"/>
  <c r="A81" i="47" s="1"/>
  <c r="A100" i="47" s="1"/>
  <c r="A118" i="47" s="1"/>
  <c r="A137" i="47" s="1"/>
  <c r="A155" i="47" s="1"/>
  <c r="A173" i="47" s="1"/>
  <c r="E23" i="47"/>
  <c r="A62" i="47"/>
  <c r="A80" i="47" s="1"/>
  <c r="A99" i="47" s="1"/>
  <c r="A117" i="47" s="1"/>
  <c r="A136" i="47" s="1"/>
  <c r="A154" i="47" s="1"/>
  <c r="A172" i="47" s="1"/>
  <c r="A22" i="47"/>
  <c r="A39" i="47"/>
  <c r="A61" i="47" s="1"/>
  <c r="A79" i="47" s="1"/>
  <c r="A98" i="47" s="1"/>
  <c r="A116" i="47" s="1"/>
  <c r="A135" i="47" s="1"/>
  <c r="A153" i="47" s="1"/>
  <c r="A171" i="47" s="1"/>
  <c r="A60" i="47"/>
  <c r="A78" i="47" s="1"/>
  <c r="A97" i="47" s="1"/>
  <c r="A115" i="47" s="1"/>
  <c r="A134" i="47" s="1"/>
  <c r="A152" i="47" s="1"/>
  <c r="A170" i="47" s="1"/>
  <c r="A38" i="47"/>
  <c r="A37" i="47"/>
  <c r="A59" i="47" s="1"/>
  <c r="A77" i="47" s="1"/>
  <c r="A96" i="47" s="1"/>
  <c r="A114" i="47" s="1"/>
  <c r="A133" i="47" s="1"/>
  <c r="A151" i="47" s="1"/>
  <c r="A169" i="47" s="1"/>
  <c r="D96" i="31"/>
  <c r="C168" i="47" s="1"/>
  <c r="A58" i="47"/>
  <c r="A76" i="47" s="1"/>
  <c r="A95" i="47" s="1"/>
  <c r="A113" i="47" s="1"/>
  <c r="A132" i="47" s="1"/>
  <c r="A150" i="47" s="1"/>
  <c r="A168" i="47" s="1"/>
  <c r="A36" i="47"/>
  <c r="A167" i="47"/>
  <c r="A35" i="47"/>
  <c r="A57" i="47" s="1"/>
  <c r="A75" i="47" s="1"/>
  <c r="A94" i="47" s="1"/>
  <c r="A112" i="47" s="1"/>
  <c r="A131" i="47" s="1"/>
  <c r="A74" i="47"/>
  <c r="A93" i="47" s="1"/>
  <c r="A111" i="47" s="1"/>
  <c r="A130" i="47" s="1"/>
  <c r="A148" i="47" s="1"/>
  <c r="A166" i="47" s="1"/>
  <c r="A56" i="47"/>
  <c r="A34" i="47"/>
  <c r="F165" i="47"/>
  <c r="E165" i="47"/>
  <c r="F110" i="47"/>
  <c r="E110" i="47"/>
  <c r="F92" i="47"/>
  <c r="E92" i="47"/>
  <c r="A33" i="47"/>
  <c r="A55" i="47" s="1"/>
  <c r="A73" i="47" s="1"/>
  <c r="A92" i="47" s="1"/>
  <c r="A110" i="47" s="1"/>
  <c r="A129" i="47" s="1"/>
  <c r="A147" i="47" s="1"/>
  <c r="A165" i="47" s="1"/>
  <c r="A32" i="47"/>
  <c r="A54" i="47" s="1"/>
  <c r="A72" i="47" s="1"/>
  <c r="A91" i="47" s="1"/>
  <c r="A109" i="47" s="1"/>
  <c r="A128" i="47" s="1"/>
  <c r="A146" i="47" s="1"/>
  <c r="A164" i="47" s="1"/>
  <c r="A180" i="47" s="1"/>
  <c r="A127" i="47"/>
  <c r="A145" i="47" s="1"/>
  <c r="A163" i="47" s="1"/>
  <c r="A126" i="47"/>
  <c r="A108" i="47"/>
  <c r="A71" i="47"/>
  <c r="A31" i="47"/>
  <c r="A53" i="47"/>
  <c r="A30" i="47"/>
  <c r="E20" i="48" l="1"/>
  <c r="F20" i="48" s="1"/>
  <c r="D18" i="48"/>
  <c r="D20" i="48"/>
  <c r="E24" i="47"/>
  <c r="N32" i="48"/>
  <c r="C13" i="48"/>
  <c r="C70" i="48"/>
  <c r="C17" i="48" s="1"/>
  <c r="I138" i="47"/>
  <c r="C52" i="48"/>
  <c r="C16" i="48" s="1"/>
  <c r="C81" i="48"/>
  <c r="C18" i="48" s="1"/>
  <c r="H52" i="48"/>
  <c r="H16" i="48" s="1"/>
  <c r="F86" i="48"/>
  <c r="H138" i="47" s="1"/>
  <c r="H45" i="48"/>
  <c r="H15" i="48" s="1"/>
  <c r="H22" i="48" s="1"/>
  <c r="C138" i="47"/>
  <c r="H94" i="48"/>
  <c r="I94" i="48" s="1"/>
  <c r="C45" i="48"/>
  <c r="C15" i="48" s="1"/>
  <c r="D103" i="48"/>
  <c r="D21" i="48" s="1"/>
  <c r="F156" i="47"/>
  <c r="F59" i="48"/>
  <c r="N59" i="48" s="1"/>
  <c r="E15" i="48"/>
  <c r="F15" i="48" s="1"/>
  <c r="I24" i="47"/>
  <c r="I93" i="48"/>
  <c r="J93" i="48" s="1"/>
  <c r="J81" i="48"/>
  <c r="J18" i="48" s="1"/>
  <c r="F81" i="48"/>
  <c r="H119" i="47" s="1"/>
  <c r="E18" i="48"/>
  <c r="F18" i="48" s="1"/>
  <c r="I101" i="47"/>
  <c r="F70" i="48"/>
  <c r="H101" i="47" s="1"/>
  <c r="I82" i="47"/>
  <c r="F52" i="48"/>
  <c r="H82" i="47" s="1"/>
  <c r="F45" i="48"/>
  <c r="H64" i="47" s="1"/>
  <c r="J86" i="48"/>
  <c r="J19" i="48" s="1"/>
  <c r="E156" i="47"/>
  <c r="E138" i="47"/>
  <c r="E119" i="47"/>
  <c r="F82" i="47"/>
  <c r="E82" i="47"/>
  <c r="I16" i="48"/>
  <c r="J45" i="48"/>
  <c r="J15" i="48" s="1"/>
  <c r="E64" i="47"/>
  <c r="J13" i="48"/>
  <c r="F24" i="47" s="1"/>
  <c r="C174" i="47"/>
  <c r="H81" i="48"/>
  <c r="H18" i="48" s="1"/>
  <c r="H70" i="48"/>
  <c r="H17" i="48" s="1"/>
  <c r="D17" i="48"/>
  <c r="C82" i="47"/>
  <c r="C64" i="47"/>
  <c r="H13" i="48"/>
  <c r="F94" i="48"/>
  <c r="E101" i="47"/>
  <c r="J59" i="48"/>
  <c r="E93" i="48"/>
  <c r="F93" i="48" s="1"/>
  <c r="F13" i="48"/>
  <c r="H92" i="48"/>
  <c r="I92" i="48" s="1"/>
  <c r="J92" i="48" s="1"/>
  <c r="E95" i="48"/>
  <c r="F95" i="48" s="1"/>
  <c r="H190" i="47"/>
  <c r="H103" i="48" l="1"/>
  <c r="H21" i="48" s="1"/>
  <c r="D22" i="48"/>
  <c r="C42" i="47" s="1"/>
  <c r="C22" i="48"/>
  <c r="C24" i="48" s="1"/>
  <c r="F138" i="47"/>
  <c r="H24" i="48"/>
  <c r="J94" i="48"/>
  <c r="J103" i="48" s="1"/>
  <c r="J21" i="48" s="1"/>
  <c r="I103" i="48"/>
  <c r="I21" i="48" s="1"/>
  <c r="F119" i="47"/>
  <c r="F103" i="48"/>
  <c r="H174" i="47" s="1"/>
  <c r="H24" i="47"/>
  <c r="F64" i="47"/>
  <c r="I17" i="48"/>
  <c r="J70" i="48"/>
  <c r="E103" i="48"/>
  <c r="F79" i="29"/>
  <c r="F174" i="47" l="1"/>
  <c r="E174" i="47"/>
  <c r="I22" i="48"/>
  <c r="I24" i="48" s="1"/>
  <c r="E21" i="48"/>
  <c r="F21" i="48" s="1"/>
  <c r="F22" i="48" s="1"/>
  <c r="F24" i="48" s="1"/>
  <c r="I174" i="47"/>
  <c r="J17" i="48"/>
  <c r="J22" i="48" s="1"/>
  <c r="J24" i="48" s="1"/>
  <c r="F101" i="47"/>
  <c r="E22" i="48"/>
  <c r="E24" i="48" s="1"/>
  <c r="M171" i="47"/>
  <c r="M170" i="47"/>
  <c r="M169" i="47"/>
  <c r="M162" i="47"/>
  <c r="M161" i="47"/>
  <c r="M160" i="47"/>
  <c r="M159" i="47"/>
  <c r="M158" i="47"/>
  <c r="M143" i="47"/>
  <c r="M142" i="47"/>
  <c r="M141" i="47"/>
  <c r="I128" i="47"/>
  <c r="H128" i="47"/>
  <c r="F128" i="47"/>
  <c r="E128" i="47"/>
  <c r="C128" i="47"/>
  <c r="M125" i="47"/>
  <c r="M123" i="47"/>
  <c r="M122" i="47"/>
  <c r="M116" i="47"/>
  <c r="M115" i="47"/>
  <c r="M114" i="47"/>
  <c r="M113" i="47"/>
  <c r="M112" i="47"/>
  <c r="M111" i="47"/>
  <c r="M107" i="47"/>
  <c r="M106" i="47"/>
  <c r="M105" i="47"/>
  <c r="M104" i="47"/>
  <c r="M98" i="47"/>
  <c r="M97" i="47"/>
  <c r="M96" i="47"/>
  <c r="M95" i="47"/>
  <c r="M94" i="47"/>
  <c r="M91" i="47"/>
  <c r="M90" i="47"/>
  <c r="M89" i="47"/>
  <c r="M88" i="47"/>
  <c r="M87" i="47"/>
  <c r="J37" i="42"/>
  <c r="J12" i="42"/>
  <c r="J11" i="42"/>
  <c r="J9" i="42"/>
  <c r="J103" i="42"/>
  <c r="J102" i="42"/>
  <c r="H102" i="42"/>
  <c r="J101" i="42"/>
  <c r="H101" i="42"/>
  <c r="E101" i="42"/>
  <c r="F101" i="42" s="1"/>
  <c r="J100" i="42"/>
  <c r="J99" i="42"/>
  <c r="J98" i="42"/>
  <c r="D96" i="42"/>
  <c r="H96" i="42" s="1"/>
  <c r="I96" i="42" s="1"/>
  <c r="J96" i="42" s="1"/>
  <c r="D95" i="42"/>
  <c r="E95" i="42" s="1"/>
  <c r="D94" i="42"/>
  <c r="H94" i="42" s="1"/>
  <c r="D93" i="42"/>
  <c r="E93" i="42" s="1"/>
  <c r="F93" i="42" s="1"/>
  <c r="H91" i="42"/>
  <c r="H21" i="42" s="1"/>
  <c r="E91" i="42"/>
  <c r="D91" i="42"/>
  <c r="I91" i="42"/>
  <c r="F91" i="42"/>
  <c r="H155" i="47" s="1"/>
  <c r="I87" i="42"/>
  <c r="E137" i="47" s="1"/>
  <c r="H87" i="42"/>
  <c r="H20" i="42" s="1"/>
  <c r="E87" i="42"/>
  <c r="D87" i="42"/>
  <c r="J86" i="42"/>
  <c r="J85" i="42"/>
  <c r="I82" i="42"/>
  <c r="D82" i="42"/>
  <c r="J81" i="42"/>
  <c r="J80" i="42"/>
  <c r="H80" i="42"/>
  <c r="J79" i="42"/>
  <c r="H79" i="42"/>
  <c r="J78" i="42"/>
  <c r="H78" i="42"/>
  <c r="J77" i="42"/>
  <c r="H77" i="42"/>
  <c r="J76" i="42"/>
  <c r="H76" i="42"/>
  <c r="E82" i="42"/>
  <c r="J75" i="42"/>
  <c r="H75" i="42"/>
  <c r="J74" i="42"/>
  <c r="H74" i="42"/>
  <c r="J70" i="42"/>
  <c r="H70" i="42"/>
  <c r="J69" i="42"/>
  <c r="H69" i="42"/>
  <c r="J68" i="42"/>
  <c r="H68" i="42"/>
  <c r="J65" i="42"/>
  <c r="J64" i="42"/>
  <c r="H64" i="42"/>
  <c r="J63" i="42"/>
  <c r="H63" i="42"/>
  <c r="H62" i="42"/>
  <c r="H61" i="42"/>
  <c r="E61" i="42"/>
  <c r="H60" i="42"/>
  <c r="J59" i="42"/>
  <c r="H59" i="42"/>
  <c r="J58" i="42"/>
  <c r="H58" i="42"/>
  <c r="J57" i="42"/>
  <c r="H57" i="42"/>
  <c r="I54" i="42"/>
  <c r="E54" i="42"/>
  <c r="D54" i="42"/>
  <c r="J53" i="42"/>
  <c r="H53" i="42"/>
  <c r="J52" i="42"/>
  <c r="H52" i="42"/>
  <c r="J51" i="42"/>
  <c r="H51" i="42"/>
  <c r="J50" i="42"/>
  <c r="H50" i="42"/>
  <c r="E47" i="42"/>
  <c r="D47" i="42"/>
  <c r="J46" i="42"/>
  <c r="H46" i="42"/>
  <c r="J45" i="42"/>
  <c r="H45" i="42"/>
  <c r="J44" i="42"/>
  <c r="H44" i="42"/>
  <c r="H43" i="42"/>
  <c r="J42" i="42"/>
  <c r="H42" i="42"/>
  <c r="J41" i="42"/>
  <c r="H41" i="42"/>
  <c r="J40" i="42"/>
  <c r="H40" i="42"/>
  <c r="H38" i="42"/>
  <c r="J33" i="42"/>
  <c r="H33" i="42"/>
  <c r="J32" i="42"/>
  <c r="H32" i="42"/>
  <c r="J29" i="42"/>
  <c r="H29" i="42"/>
  <c r="J30" i="42"/>
  <c r="H30" i="42"/>
  <c r="J28" i="42"/>
  <c r="H28" i="42"/>
  <c r="J27" i="42"/>
  <c r="J13" i="42"/>
  <c r="H13" i="42"/>
  <c r="J8" i="42"/>
  <c r="H8" i="42"/>
  <c r="J7" i="42"/>
  <c r="H7" i="42"/>
  <c r="J6" i="42"/>
  <c r="H6" i="42"/>
  <c r="J5" i="42"/>
  <c r="E42" i="47" l="1"/>
  <c r="F42" i="47"/>
  <c r="I42" i="47"/>
  <c r="H42" i="47"/>
  <c r="F61" i="42"/>
  <c r="J43" i="42"/>
  <c r="J61" i="42"/>
  <c r="J62" i="42"/>
  <c r="D17" i="42"/>
  <c r="C81" i="47"/>
  <c r="D20" i="42"/>
  <c r="C137" i="47"/>
  <c r="I17" i="42"/>
  <c r="E81" i="47"/>
  <c r="E71" i="42"/>
  <c r="F71" i="42"/>
  <c r="H100" i="47" s="1"/>
  <c r="D21" i="42"/>
  <c r="C155" i="47"/>
  <c r="E21" i="42"/>
  <c r="F21" i="42" s="1"/>
  <c r="I155" i="47"/>
  <c r="E20" i="42"/>
  <c r="F20" i="42" s="1"/>
  <c r="I137" i="47"/>
  <c r="E19" i="42"/>
  <c r="F19" i="42" s="1"/>
  <c r="I118" i="47"/>
  <c r="E14" i="42"/>
  <c r="F14" i="42"/>
  <c r="I20" i="42"/>
  <c r="I19" i="42"/>
  <c r="E118" i="47"/>
  <c r="E17" i="42"/>
  <c r="F17" i="42" s="1"/>
  <c r="I81" i="47"/>
  <c r="D18" i="42"/>
  <c r="C100" i="47"/>
  <c r="D19" i="42"/>
  <c r="C118" i="47"/>
  <c r="E16" i="42"/>
  <c r="F16" i="42" s="1"/>
  <c r="I63" i="47"/>
  <c r="D16" i="42"/>
  <c r="C63" i="47"/>
  <c r="I21" i="42"/>
  <c r="E155" i="47"/>
  <c r="F87" i="42"/>
  <c r="H137" i="47" s="1"/>
  <c r="H82" i="42"/>
  <c r="H19" i="42" s="1"/>
  <c r="F82" i="42"/>
  <c r="H118" i="47" s="1"/>
  <c r="J87" i="42"/>
  <c r="H54" i="42"/>
  <c r="H17" i="42" s="1"/>
  <c r="J82" i="42"/>
  <c r="H14" i="42"/>
  <c r="H71" i="42"/>
  <c r="H18" i="42" s="1"/>
  <c r="F47" i="42"/>
  <c r="H63" i="47" s="1"/>
  <c r="H47" i="42"/>
  <c r="H16" i="42" s="1"/>
  <c r="H23" i="42" s="1"/>
  <c r="F54" i="42"/>
  <c r="H81" i="47" s="1"/>
  <c r="H95" i="42"/>
  <c r="I95" i="42" s="1"/>
  <c r="J60" i="42"/>
  <c r="I71" i="42"/>
  <c r="E100" i="47" s="1"/>
  <c r="J38" i="42"/>
  <c r="I47" i="42"/>
  <c r="J14" i="42"/>
  <c r="F95" i="42"/>
  <c r="J90" i="42"/>
  <c r="J91" i="42" s="1"/>
  <c r="E94" i="42"/>
  <c r="F94" i="42" s="1"/>
  <c r="D104" i="42"/>
  <c r="I94" i="42"/>
  <c r="J94" i="42" s="1"/>
  <c r="J54" i="42"/>
  <c r="H93" i="42"/>
  <c r="I93" i="42" s="1"/>
  <c r="J93" i="42" s="1"/>
  <c r="E96" i="42"/>
  <c r="F96" i="42" s="1"/>
  <c r="I23" i="47" l="1"/>
  <c r="F23" i="47"/>
  <c r="H23" i="47"/>
  <c r="J47" i="42"/>
  <c r="F63" i="47" s="1"/>
  <c r="C173" i="47"/>
  <c r="J20" i="42"/>
  <c r="F137" i="47"/>
  <c r="E18" i="42"/>
  <c r="F18" i="42" s="1"/>
  <c r="I100" i="47"/>
  <c r="H104" i="42"/>
  <c r="H22" i="42" s="1"/>
  <c r="I16" i="42"/>
  <c r="E63" i="47"/>
  <c r="J17" i="42"/>
  <c r="F81" i="47"/>
  <c r="J19" i="42"/>
  <c r="F118" i="47"/>
  <c r="J21" i="42"/>
  <c r="F155" i="47"/>
  <c r="D22" i="42"/>
  <c r="D23" i="42" s="1"/>
  <c r="C41" i="47" s="1"/>
  <c r="F104" i="42"/>
  <c r="H173" i="47" s="1"/>
  <c r="H25" i="42"/>
  <c r="E104" i="42"/>
  <c r="I104" i="42"/>
  <c r="J95" i="42"/>
  <c r="J104" i="42" s="1"/>
  <c r="J71" i="42"/>
  <c r="I18" i="42"/>
  <c r="J16" i="42" l="1"/>
  <c r="I22" i="42"/>
  <c r="I23" i="42" s="1"/>
  <c r="I25" i="42" s="1"/>
  <c r="E173" i="47"/>
  <c r="E22" i="42"/>
  <c r="I173" i="47"/>
  <c r="J22" i="42"/>
  <c r="F173" i="47"/>
  <c r="J18" i="42"/>
  <c r="F100" i="47"/>
  <c r="E23" i="42" l="1"/>
  <c r="E25" i="42" s="1"/>
  <c r="F22" i="42"/>
  <c r="F23" i="42" s="1"/>
  <c r="F25" i="42" s="1"/>
  <c r="J23" i="42"/>
  <c r="J25" i="42" s="1"/>
  <c r="I41" i="47"/>
  <c r="E41" i="47"/>
  <c r="C56" i="37"/>
  <c r="H56" i="37"/>
  <c r="J56" i="37"/>
  <c r="F41" i="47" l="1"/>
  <c r="H41" i="47"/>
  <c r="C68" i="29"/>
  <c r="J68" i="29"/>
  <c r="C58" i="29"/>
  <c r="J58" i="29"/>
  <c r="F4" i="29" l="1"/>
  <c r="F4" i="28" s="1"/>
  <c r="I1" i="29"/>
  <c r="I1" i="28" s="1"/>
  <c r="E4" i="29"/>
  <c r="E4" i="28" s="1"/>
  <c r="D4" i="29"/>
  <c r="D4" i="28" s="1"/>
  <c r="F4" i="40" l="1"/>
  <c r="F4" i="26"/>
  <c r="F4" i="32" s="1"/>
  <c r="F4" i="31" s="1"/>
  <c r="F4" i="34" s="1"/>
  <c r="F4" i="37" s="1"/>
  <c r="F4" i="38" s="1"/>
  <c r="F4" i="48" s="1"/>
  <c r="I1" i="26"/>
  <c r="I1" i="32" s="1"/>
  <c r="I1" i="31" s="1"/>
  <c r="I1" i="34" s="1"/>
  <c r="I1" i="37" s="1"/>
  <c r="I1" i="38" s="1"/>
  <c r="I1" i="48" s="1"/>
  <c r="I1" i="40"/>
  <c r="D4" i="26"/>
  <c r="D4" i="32" s="1"/>
  <c r="D4" i="31" s="1"/>
  <c r="D4" i="34" s="1"/>
  <c r="D4" i="37" s="1"/>
  <c r="D4" i="38" s="1"/>
  <c r="D4" i="48" s="1"/>
  <c r="D13" i="48" s="1"/>
  <c r="D4" i="40"/>
  <c r="E4" i="26"/>
  <c r="E4" i="32" s="1"/>
  <c r="E4" i="31" s="1"/>
  <c r="E4" i="34" s="1"/>
  <c r="E4" i="37" s="1"/>
  <c r="E4" i="38" s="1"/>
  <c r="E4" i="48" s="1"/>
  <c r="E4" i="40"/>
  <c r="J10" i="27"/>
  <c r="J9" i="27"/>
  <c r="J8" i="27"/>
  <c r="J7" i="27"/>
  <c r="J6" i="27"/>
  <c r="J5" i="27"/>
  <c r="C24" i="47" l="1"/>
  <c r="D24" i="48"/>
  <c r="F4" i="42"/>
  <c r="F4" i="39"/>
  <c r="F4" i="41" s="1"/>
  <c r="I1" i="42"/>
  <c r="I1" i="39"/>
  <c r="I1" i="41" s="1"/>
  <c r="D4" i="42"/>
  <c r="D14" i="42" s="1"/>
  <c r="D25" i="42" s="1"/>
  <c r="D4" i="39"/>
  <c r="D4" i="41" s="1"/>
  <c r="E4" i="42"/>
  <c r="E4" i="39"/>
  <c r="E4" i="41" s="1"/>
  <c r="E135" i="47"/>
  <c r="C23" i="47" l="1"/>
  <c r="E43" i="31"/>
  <c r="I58" i="47" s="1"/>
  <c r="J28" i="31"/>
  <c r="C28" i="31"/>
  <c r="F89" i="38" l="1"/>
  <c r="H153" i="47" s="1"/>
  <c r="E89" i="38"/>
  <c r="I153" i="47" s="1"/>
  <c r="D89" i="38"/>
  <c r="C153" i="47" s="1"/>
  <c r="J87" i="38"/>
  <c r="E84" i="38"/>
  <c r="I135" i="47" s="1"/>
  <c r="D84" i="38"/>
  <c r="C135" i="47" s="1"/>
  <c r="J82" i="38"/>
  <c r="J79" i="32"/>
  <c r="C5" i="29"/>
  <c r="J14" i="28" l="1"/>
  <c r="J13" i="28"/>
  <c r="J12" i="28"/>
  <c r="J11" i="28"/>
  <c r="J10" i="28"/>
  <c r="J9" i="28"/>
  <c r="J8" i="28"/>
  <c r="J5" i="28"/>
  <c r="I15" i="28"/>
  <c r="E15" i="47" l="1"/>
  <c r="J7" i="28"/>
  <c r="J15" i="28" s="1"/>
  <c r="J21" i="41"/>
  <c r="F15" i="47" l="1"/>
  <c r="F65" i="41"/>
  <c r="H83" i="47" s="1"/>
  <c r="F88" i="39"/>
  <c r="H154" i="47" s="1"/>
  <c r="E12" i="39"/>
  <c r="F84" i="38"/>
  <c r="H135" i="47" s="1"/>
  <c r="F89" i="37"/>
  <c r="H152" i="47" s="1"/>
  <c r="F53" i="37"/>
  <c r="H78" i="47" s="1"/>
  <c r="F89" i="34"/>
  <c r="H151" i="47" s="1"/>
  <c r="F85" i="34"/>
  <c r="H133" i="47" s="1"/>
  <c r="J73" i="31"/>
  <c r="F86" i="31"/>
  <c r="H150" i="47" s="1"/>
  <c r="F85" i="32"/>
  <c r="H149" i="47" s="1"/>
  <c r="F48" i="32"/>
  <c r="H75" i="47" s="1"/>
  <c r="E18" i="26"/>
  <c r="I16" i="47" s="1"/>
  <c r="F86" i="26"/>
  <c r="H130" i="47" s="1"/>
  <c r="F90" i="26"/>
  <c r="H148" i="47" s="1"/>
  <c r="F49" i="40"/>
  <c r="H109" i="47" s="1"/>
  <c r="F54" i="40"/>
  <c r="H180" i="47" s="1"/>
  <c r="H182" i="47" s="1"/>
  <c r="F41" i="40"/>
  <c r="H54" i="47" s="1"/>
  <c r="F63" i="28"/>
  <c r="H165" i="47" s="1"/>
  <c r="F70" i="29"/>
  <c r="H127" i="47" s="1"/>
  <c r="G68" i="27"/>
  <c r="H144" i="47" s="1"/>
  <c r="G78" i="27"/>
  <c r="G77" i="27"/>
  <c r="G73" i="27"/>
  <c r="J23" i="41"/>
  <c r="I15" i="41"/>
  <c r="I10" i="41"/>
  <c r="I11" i="41"/>
  <c r="I12" i="41"/>
  <c r="I13" i="41"/>
  <c r="I8" i="41"/>
  <c r="I16" i="41"/>
  <c r="I14" i="41"/>
  <c r="I9" i="41"/>
  <c r="I22" i="47" l="1"/>
  <c r="F58" i="41"/>
  <c r="H65" i="47" s="1"/>
  <c r="F26" i="41"/>
  <c r="F84" i="39"/>
  <c r="H136" i="47" s="1"/>
  <c r="F49" i="39"/>
  <c r="H80" i="47" s="1"/>
  <c r="F12" i="39"/>
  <c r="F42" i="39"/>
  <c r="H62" i="47" s="1"/>
  <c r="F85" i="37"/>
  <c r="H134" i="47" s="1"/>
  <c r="F79" i="37"/>
  <c r="H115" i="47" s="1"/>
  <c r="F69" i="37"/>
  <c r="H97" i="47" s="1"/>
  <c r="F15" i="37"/>
  <c r="F46" i="37"/>
  <c r="H60" i="47" s="1"/>
  <c r="F43" i="31"/>
  <c r="H58" i="47" s="1"/>
  <c r="F50" i="31"/>
  <c r="H76" i="47" s="1"/>
  <c r="F81" i="31"/>
  <c r="H132" i="47" s="1"/>
  <c r="F68" i="34"/>
  <c r="H96" i="47" s="1"/>
  <c r="F45" i="34"/>
  <c r="H59" i="47" s="1"/>
  <c r="F52" i="34"/>
  <c r="H77" i="47" s="1"/>
  <c r="F66" i="31"/>
  <c r="H95" i="47" s="1"/>
  <c r="F65" i="32"/>
  <c r="H94" i="47" s="1"/>
  <c r="F41" i="32"/>
  <c r="H57" i="47" s="1"/>
  <c r="F13" i="32"/>
  <c r="F71" i="26"/>
  <c r="H93" i="47" s="1"/>
  <c r="F53" i="26"/>
  <c r="H74" i="47" s="1"/>
  <c r="F46" i="26"/>
  <c r="H56" i="47" s="1"/>
  <c r="F18" i="26"/>
  <c r="F35" i="29"/>
  <c r="H53" i="47" s="1"/>
  <c r="F65" i="29"/>
  <c r="H108" i="47" s="1"/>
  <c r="F55" i="29"/>
  <c r="H90" i="47" s="1"/>
  <c r="F42" i="29"/>
  <c r="H71" i="47" s="1"/>
  <c r="G55" i="27"/>
  <c r="H89" i="47" s="1"/>
  <c r="G41" i="27"/>
  <c r="H70" i="47" s="1"/>
  <c r="G11" i="27"/>
  <c r="G34" i="27"/>
  <c r="H52" i="47" s="1"/>
  <c r="F14" i="31"/>
  <c r="F98" i="38"/>
  <c r="H171" i="47" s="1"/>
  <c r="F79" i="38"/>
  <c r="H116" i="47" s="1"/>
  <c r="F15" i="38"/>
  <c r="F42" i="38"/>
  <c r="H61" i="47" s="1"/>
  <c r="F49" i="38"/>
  <c r="H79" i="47" s="1"/>
  <c r="F80" i="34"/>
  <c r="H114" i="47" s="1"/>
  <c r="H16" i="47" l="1"/>
  <c r="H20" i="47"/>
  <c r="H18" i="47"/>
  <c r="H17" i="47"/>
  <c r="H21" i="47"/>
  <c r="H22" i="47"/>
  <c r="H25" i="47"/>
  <c r="H12" i="47"/>
  <c r="H85" i="47"/>
  <c r="H18" i="29"/>
  <c r="H19" i="29"/>
  <c r="H27" i="29"/>
  <c r="F26" i="27"/>
  <c r="F68" i="27"/>
  <c r="F72" i="27"/>
  <c r="J77" i="27"/>
  <c r="J78" i="27"/>
  <c r="J30" i="31"/>
  <c r="J83" i="37"/>
  <c r="J20" i="41" l="1"/>
  <c r="J24" i="41" l="1"/>
  <c r="J29" i="29"/>
  <c r="J63" i="26"/>
  <c r="J62" i="26"/>
  <c r="J77" i="37"/>
  <c r="J30" i="37"/>
  <c r="H30" i="37"/>
  <c r="C30" i="37"/>
  <c r="J73" i="38"/>
  <c r="J37" i="38"/>
  <c r="H37" i="38"/>
  <c r="C37" i="38"/>
  <c r="J36" i="38"/>
  <c r="H36" i="38"/>
  <c r="C36" i="38"/>
  <c r="H33" i="38"/>
  <c r="J33" i="38" s="1"/>
  <c r="C33" i="38"/>
  <c r="J29" i="38"/>
  <c r="H29" i="38"/>
  <c r="C29" i="38"/>
  <c r="J75" i="39"/>
  <c r="H75" i="39"/>
  <c r="C75" i="39"/>
  <c r="E42" i="39"/>
  <c r="I62" i="47" s="1"/>
  <c r="D42" i="39"/>
  <c r="C62" i="47" s="1"/>
  <c r="J25" i="39"/>
  <c r="C25" i="39"/>
  <c r="C60" i="37"/>
  <c r="J60" i="37"/>
  <c r="H69" i="31"/>
  <c r="H71" i="34"/>
  <c r="H72" i="34"/>
  <c r="H30" i="34"/>
  <c r="H31" i="34"/>
  <c r="H32" i="34"/>
  <c r="H33" i="34"/>
  <c r="H37" i="34"/>
  <c r="H38" i="34"/>
  <c r="D45" i="34"/>
  <c r="C59" i="47" s="1"/>
  <c r="C28" i="34"/>
  <c r="D43" i="31"/>
  <c r="C58" i="47" s="1"/>
  <c r="J27" i="31"/>
  <c r="H27" i="31"/>
  <c r="C27" i="31"/>
  <c r="H31" i="26"/>
  <c r="H75" i="26"/>
  <c r="H57" i="26"/>
  <c r="H70" i="26"/>
  <c r="H64" i="26"/>
  <c r="H50" i="26"/>
  <c r="D18" i="26"/>
  <c r="C16" i="47" s="1"/>
  <c r="J58" i="40"/>
  <c r="G34" i="40"/>
  <c r="F37" i="27"/>
  <c r="F38" i="27"/>
  <c r="L38" i="27" s="1"/>
  <c r="F39" i="27"/>
  <c r="L39" i="27" s="1"/>
  <c r="F40" i="27"/>
  <c r="L40" i="27" s="1"/>
  <c r="G64" i="27"/>
  <c r="H107" i="47" s="1"/>
  <c r="F10" i="27"/>
  <c r="F9" i="27"/>
  <c r="F11" i="28" l="1"/>
  <c r="N11" i="28" s="1"/>
  <c r="F13" i="28"/>
  <c r="N13" i="28" s="1"/>
  <c r="H21" i="28"/>
  <c r="H23" i="28" s="1"/>
  <c r="C78" i="34"/>
  <c r="J26" i="28"/>
  <c r="J27" i="28"/>
  <c r="J28" i="28"/>
  <c r="J29" i="28"/>
  <c r="J30" i="28"/>
  <c r="J31" i="28"/>
  <c r="J32" i="28"/>
  <c r="J33" i="28"/>
  <c r="J34" i="28"/>
  <c r="J35" i="28"/>
  <c r="J36" i="28"/>
  <c r="J25" i="28"/>
  <c r="I37" i="28"/>
  <c r="E30" i="28"/>
  <c r="F30" i="28" s="1"/>
  <c r="N30" i="28" s="1"/>
  <c r="C40" i="29"/>
  <c r="C38" i="29"/>
  <c r="C79" i="31"/>
  <c r="C77" i="39"/>
  <c r="G18" i="40"/>
  <c r="G17" i="40"/>
  <c r="D18" i="40"/>
  <c r="D17" i="40"/>
  <c r="I17" i="28" l="1"/>
  <c r="I21" i="28" s="1"/>
  <c r="E55" i="47"/>
  <c r="J37" i="28"/>
  <c r="F15" i="28"/>
  <c r="J92" i="41"/>
  <c r="D96" i="41"/>
  <c r="C175" i="47" s="1"/>
  <c r="J91" i="41"/>
  <c r="J17" i="28" l="1"/>
  <c r="J21" i="28" s="1"/>
  <c r="F55" i="47"/>
  <c r="E33" i="47"/>
  <c r="I23" i="28"/>
  <c r="H15" i="47"/>
  <c r="F33" i="47" l="1"/>
  <c r="J23" i="28"/>
  <c r="C45" i="41"/>
  <c r="C96" i="41"/>
  <c r="C81" i="41"/>
  <c r="C83" i="41"/>
  <c r="C38" i="41"/>
  <c r="H94" i="41"/>
  <c r="I94" i="41" s="1"/>
  <c r="J94" i="41" s="1"/>
  <c r="H93" i="41"/>
  <c r="J7" i="41"/>
  <c r="I93" i="41" l="1"/>
  <c r="H96" i="41"/>
  <c r="J95" i="41"/>
  <c r="E94" i="41"/>
  <c r="F94" i="41" s="1"/>
  <c r="E93" i="41"/>
  <c r="F93" i="41" s="1"/>
  <c r="F96" i="41" s="1"/>
  <c r="H175" i="47" s="1"/>
  <c r="J87" i="41"/>
  <c r="J86" i="41"/>
  <c r="C84" i="41"/>
  <c r="H83" i="41"/>
  <c r="C82" i="41"/>
  <c r="C77" i="41"/>
  <c r="C76" i="41"/>
  <c r="C73" i="41"/>
  <c r="C72" i="41"/>
  <c r="C71" i="41"/>
  <c r="C70" i="41"/>
  <c r="C69" i="41"/>
  <c r="C63" i="41"/>
  <c r="C62" i="41"/>
  <c r="C57" i="41"/>
  <c r="C55" i="41"/>
  <c r="C54" i="41"/>
  <c r="C53" i="41"/>
  <c r="H53" i="41" s="1"/>
  <c r="J53" i="41" s="1"/>
  <c r="C52" i="41"/>
  <c r="C51" i="41"/>
  <c r="C50" i="41"/>
  <c r="C48" i="41"/>
  <c r="C47" i="41"/>
  <c r="C46" i="41"/>
  <c r="H46" i="41" s="1"/>
  <c r="J46" i="41" s="1"/>
  <c r="C44" i="41"/>
  <c r="C43" i="41"/>
  <c r="C42" i="41"/>
  <c r="H42" i="41" s="1"/>
  <c r="J42" i="41" s="1"/>
  <c r="C41" i="41"/>
  <c r="C40" i="41"/>
  <c r="H37" i="41"/>
  <c r="C25" i="41"/>
  <c r="C26" i="41" s="1"/>
  <c r="J6" i="41"/>
  <c r="J22" i="41"/>
  <c r="J18" i="41"/>
  <c r="C65" i="41" l="1"/>
  <c r="C29" i="41" s="1"/>
  <c r="J93" i="41"/>
  <c r="J96" i="41" s="1"/>
  <c r="F175" i="47" s="1"/>
  <c r="I96" i="41"/>
  <c r="E175" i="47" s="1"/>
  <c r="E96" i="41"/>
  <c r="I175" i="47" s="1"/>
  <c r="J5" i="41"/>
  <c r="C88" i="41"/>
  <c r="C32" i="41" s="1"/>
  <c r="H68" i="41"/>
  <c r="C78" i="41"/>
  <c r="C30" i="41" s="1"/>
  <c r="H72" i="41"/>
  <c r="J72" i="41" s="1"/>
  <c r="H84" i="41"/>
  <c r="H43" i="41"/>
  <c r="J43" i="41" s="1"/>
  <c r="H55" i="41"/>
  <c r="J55" i="41" s="1"/>
  <c r="H44" i="41"/>
  <c r="J44" i="41" s="1"/>
  <c r="H57" i="41"/>
  <c r="J57" i="41" s="1"/>
  <c r="D58" i="41"/>
  <c r="H38" i="41"/>
  <c r="J38" i="41" s="1"/>
  <c r="H45" i="41"/>
  <c r="J45" i="41" s="1"/>
  <c r="H50" i="41"/>
  <c r="J50" i="41" s="1"/>
  <c r="H51" i="41"/>
  <c r="J51" i="41" s="1"/>
  <c r="H70" i="41"/>
  <c r="H81" i="41"/>
  <c r="D88" i="41"/>
  <c r="H54" i="41"/>
  <c r="J54" i="41" s="1"/>
  <c r="H40" i="41"/>
  <c r="J40" i="41" s="1"/>
  <c r="H52" i="41"/>
  <c r="J52" i="41" s="1"/>
  <c r="H82" i="41"/>
  <c r="J82" i="41" s="1"/>
  <c r="H48" i="41"/>
  <c r="J48" i="41" s="1"/>
  <c r="H73" i="41"/>
  <c r="J73" i="41" s="1"/>
  <c r="H76" i="41"/>
  <c r="J76" i="41" s="1"/>
  <c r="H41" i="41"/>
  <c r="J41" i="41" s="1"/>
  <c r="H47" i="41"/>
  <c r="J47" i="41" s="1"/>
  <c r="H63" i="41"/>
  <c r="J63" i="41" s="1"/>
  <c r="H62" i="41"/>
  <c r="J62" i="41" s="1"/>
  <c r="H77" i="41"/>
  <c r="J77" i="41" s="1"/>
  <c r="C58" i="41"/>
  <c r="C28" i="41" s="1"/>
  <c r="H61" i="41"/>
  <c r="D65" i="41"/>
  <c r="J83" i="41"/>
  <c r="H39" i="41"/>
  <c r="J39" i="41" s="1"/>
  <c r="H64" i="41"/>
  <c r="J64" i="41" s="1"/>
  <c r="H71" i="41"/>
  <c r="J71" i="41" s="1"/>
  <c r="C44" i="40"/>
  <c r="C43" i="40"/>
  <c r="C27" i="39"/>
  <c r="C26" i="39"/>
  <c r="C72" i="39"/>
  <c r="C70" i="39"/>
  <c r="C71" i="39"/>
  <c r="C40" i="38"/>
  <c r="C45" i="38"/>
  <c r="C46" i="38"/>
  <c r="C70" i="38"/>
  <c r="C72" i="38"/>
  <c r="C69" i="38"/>
  <c r="C74" i="38"/>
  <c r="C32" i="38"/>
  <c r="C74" i="37"/>
  <c r="C73" i="37"/>
  <c r="C72" i="37"/>
  <c r="C33" i="37"/>
  <c r="C73" i="34"/>
  <c r="C72" i="34"/>
  <c r="C71" i="34"/>
  <c r="C34" i="34"/>
  <c r="C76" i="26"/>
  <c r="C6" i="27"/>
  <c r="C60" i="27"/>
  <c r="C71" i="31"/>
  <c r="C70" i="32"/>
  <c r="C7" i="32"/>
  <c r="C69" i="32"/>
  <c r="C68" i="32"/>
  <c r="C47" i="32"/>
  <c r="C32" i="32"/>
  <c r="C70" i="31"/>
  <c r="C69" i="31"/>
  <c r="C33" i="31"/>
  <c r="C47" i="29"/>
  <c r="C45" i="29"/>
  <c r="H70" i="29"/>
  <c r="D70" i="29"/>
  <c r="C18" i="29"/>
  <c r="C59" i="29"/>
  <c r="C52" i="28"/>
  <c r="C54" i="28"/>
  <c r="C53" i="28"/>
  <c r="C51" i="28"/>
  <c r="C50" i="28"/>
  <c r="C49" i="28"/>
  <c r="C58" i="27"/>
  <c r="C27" i="27"/>
  <c r="C37" i="27"/>
  <c r="C39" i="27"/>
  <c r="C16" i="26"/>
  <c r="C75" i="26"/>
  <c r="C49" i="26"/>
  <c r="C51" i="26"/>
  <c r="C13" i="26"/>
  <c r="C36" i="26"/>
  <c r="I59" i="40"/>
  <c r="G59" i="40"/>
  <c r="G19" i="40" s="1"/>
  <c r="C59" i="40"/>
  <c r="C19" i="40" s="1"/>
  <c r="H164" i="47"/>
  <c r="J57" i="40"/>
  <c r="J59" i="40" s="1"/>
  <c r="G54" i="40"/>
  <c r="D54" i="40"/>
  <c r="C180" i="47" s="1"/>
  <c r="C182" i="47" s="1"/>
  <c r="C54" i="40"/>
  <c r="C17" i="40" s="1"/>
  <c r="E18" i="40"/>
  <c r="F18" i="40" s="1"/>
  <c r="C47" i="40"/>
  <c r="C46" i="40"/>
  <c r="C40" i="40"/>
  <c r="J39" i="40"/>
  <c r="C39" i="40"/>
  <c r="C38" i="40"/>
  <c r="C37" i="40"/>
  <c r="C36" i="40"/>
  <c r="G35" i="40"/>
  <c r="J35" i="40" s="1"/>
  <c r="C35" i="40"/>
  <c r="J34" i="40"/>
  <c r="C33" i="40"/>
  <c r="C32" i="40"/>
  <c r="C31" i="40"/>
  <c r="C30" i="40"/>
  <c r="C29" i="40"/>
  <c r="C28" i="40"/>
  <c r="C27" i="40"/>
  <c r="C26" i="40"/>
  <c r="C25" i="40"/>
  <c r="C24" i="40"/>
  <c r="C12" i="40"/>
  <c r="G11" i="40"/>
  <c r="J11" i="40" s="1"/>
  <c r="G9" i="40"/>
  <c r="I9" i="40" s="1"/>
  <c r="J9" i="40" s="1"/>
  <c r="E9" i="40"/>
  <c r="F9" i="40" s="1"/>
  <c r="J7" i="40"/>
  <c r="J6" i="40"/>
  <c r="I19" i="40" l="1"/>
  <c r="E164" i="47"/>
  <c r="J19" i="40"/>
  <c r="F164" i="47"/>
  <c r="D18" i="29"/>
  <c r="C127" i="47"/>
  <c r="D19" i="40"/>
  <c r="C164" i="47"/>
  <c r="J48" i="40"/>
  <c r="E190" i="47"/>
  <c r="E12" i="40"/>
  <c r="I14" i="47" s="1"/>
  <c r="F12" i="40"/>
  <c r="H14" i="47" s="1"/>
  <c r="D31" i="41"/>
  <c r="C120" i="47"/>
  <c r="F88" i="41"/>
  <c r="H120" i="47" s="1"/>
  <c r="D29" i="41"/>
  <c r="C83" i="47"/>
  <c r="D28" i="41"/>
  <c r="C65" i="47"/>
  <c r="D12" i="40"/>
  <c r="C14" i="47" s="1"/>
  <c r="I54" i="40"/>
  <c r="J53" i="40"/>
  <c r="J18" i="40" s="1"/>
  <c r="I18" i="40"/>
  <c r="E54" i="40"/>
  <c r="I180" i="47" s="1"/>
  <c r="I182" i="47" s="1"/>
  <c r="E17" i="40"/>
  <c r="F17" i="40" s="1"/>
  <c r="D32" i="41"/>
  <c r="C31" i="41"/>
  <c r="C33" i="41" s="1"/>
  <c r="C35" i="41" s="1"/>
  <c r="E88" i="41"/>
  <c r="H88" i="41"/>
  <c r="H31" i="41" s="1"/>
  <c r="E58" i="41"/>
  <c r="H58" i="41"/>
  <c r="H28" i="41" s="1"/>
  <c r="E65" i="41"/>
  <c r="J84" i="41"/>
  <c r="H69" i="41"/>
  <c r="H78" i="41" s="1"/>
  <c r="H30" i="41" s="1"/>
  <c r="E78" i="41"/>
  <c r="F78" i="41" s="1"/>
  <c r="H102" i="47" s="1"/>
  <c r="H65" i="41"/>
  <c r="H29" i="41" s="1"/>
  <c r="D78" i="41"/>
  <c r="J68" i="41"/>
  <c r="H26" i="41"/>
  <c r="J37" i="41"/>
  <c r="J58" i="41" s="1"/>
  <c r="I58" i="41"/>
  <c r="J44" i="40"/>
  <c r="C49" i="40"/>
  <c r="C16" i="40" s="1"/>
  <c r="G32" i="40"/>
  <c r="J32" i="40" s="1"/>
  <c r="J37" i="40"/>
  <c r="G27" i="40"/>
  <c r="J27" i="40" s="1"/>
  <c r="J28" i="40"/>
  <c r="G29" i="40"/>
  <c r="J29" i="40" s="1"/>
  <c r="J40" i="40"/>
  <c r="D41" i="40"/>
  <c r="G24" i="40"/>
  <c r="G25" i="40"/>
  <c r="J25" i="40" s="1"/>
  <c r="G31" i="40"/>
  <c r="J31" i="40" s="1"/>
  <c r="G36" i="40"/>
  <c r="J36" i="40" s="1"/>
  <c r="G46" i="40"/>
  <c r="J46" i="40" s="1"/>
  <c r="G33" i="40"/>
  <c r="J33" i="40" s="1"/>
  <c r="J38" i="40"/>
  <c r="C41" i="40"/>
  <c r="C15" i="40" s="1"/>
  <c r="J51" i="40"/>
  <c r="G10" i="40"/>
  <c r="G26" i="40"/>
  <c r="J26" i="40" s="1"/>
  <c r="G30" i="40"/>
  <c r="J30" i="40" s="1"/>
  <c r="G5" i="40"/>
  <c r="E180" i="47" l="1"/>
  <c r="E182" i="47" s="1"/>
  <c r="I17" i="40"/>
  <c r="E19" i="40"/>
  <c r="F19" i="40" s="1"/>
  <c r="I164" i="47"/>
  <c r="D15" i="40"/>
  <c r="C54" i="47"/>
  <c r="I28" i="41"/>
  <c r="E65" i="47"/>
  <c r="E31" i="41"/>
  <c r="F31" i="41" s="1"/>
  <c r="I120" i="47"/>
  <c r="E30" i="41"/>
  <c r="F30" i="41" s="1"/>
  <c r="I102" i="47"/>
  <c r="D30" i="41"/>
  <c r="D33" i="41" s="1"/>
  <c r="C43" i="47" s="1"/>
  <c r="C102" i="47"/>
  <c r="E29" i="41"/>
  <c r="F29" i="41" s="1"/>
  <c r="I83" i="47"/>
  <c r="J28" i="41"/>
  <c r="F65" i="47"/>
  <c r="E28" i="41"/>
  <c r="F28" i="41" s="1"/>
  <c r="I65" i="47"/>
  <c r="J54" i="40"/>
  <c r="J10" i="40"/>
  <c r="I12" i="40"/>
  <c r="G12" i="40"/>
  <c r="H32" i="41"/>
  <c r="H33" i="41" s="1"/>
  <c r="H35" i="41" s="1"/>
  <c r="E32" i="41"/>
  <c r="F32" i="41" s="1"/>
  <c r="I88" i="41"/>
  <c r="E120" i="47" s="1"/>
  <c r="J81" i="41"/>
  <c r="J88" i="41" s="1"/>
  <c r="J61" i="41"/>
  <c r="I65" i="41"/>
  <c r="E83" i="47" s="1"/>
  <c r="C20" i="40"/>
  <c r="C22" i="40" s="1"/>
  <c r="J43" i="40"/>
  <c r="G47" i="40"/>
  <c r="E49" i="40"/>
  <c r="D49" i="40"/>
  <c r="E41" i="40"/>
  <c r="J5" i="40"/>
  <c r="G41" i="40"/>
  <c r="G15" i="40" s="1"/>
  <c r="I41" i="40"/>
  <c r="J24" i="40"/>
  <c r="J41" i="40" s="1"/>
  <c r="J70" i="41" l="1"/>
  <c r="F180" i="47"/>
  <c r="F182" i="47" s="1"/>
  <c r="J17" i="40"/>
  <c r="I15" i="40"/>
  <c r="E54" i="47"/>
  <c r="E14" i="47"/>
  <c r="E16" i="40"/>
  <c r="F16" i="40" s="1"/>
  <c r="I109" i="47"/>
  <c r="D16" i="40"/>
  <c r="D20" i="40" s="1"/>
  <c r="D22" i="40" s="1"/>
  <c r="C109" i="47"/>
  <c r="J15" i="40"/>
  <c r="F54" i="47"/>
  <c r="E15" i="40"/>
  <c r="I54" i="47"/>
  <c r="J31" i="41"/>
  <c r="F120" i="47"/>
  <c r="E33" i="41"/>
  <c r="I43" i="47" s="1"/>
  <c r="F33" i="41"/>
  <c r="J12" i="40"/>
  <c r="I29" i="41"/>
  <c r="J65" i="41"/>
  <c r="I31" i="41"/>
  <c r="I32" i="41"/>
  <c r="J32" i="41"/>
  <c r="J25" i="41"/>
  <c r="J69" i="41"/>
  <c r="I78" i="41"/>
  <c r="E102" i="47" s="1"/>
  <c r="G49" i="40"/>
  <c r="G16" i="40" s="1"/>
  <c r="G20" i="40" s="1"/>
  <c r="G22" i="40" s="1"/>
  <c r="J47" i="40"/>
  <c r="J49" i="40" s="1"/>
  <c r="I49" i="40"/>
  <c r="E20" i="40" l="1"/>
  <c r="E22" i="40" s="1"/>
  <c r="F14" i="47"/>
  <c r="I16" i="40"/>
  <c r="I20" i="40" s="1"/>
  <c r="I22" i="40" s="1"/>
  <c r="E109" i="47"/>
  <c r="C32" i="47"/>
  <c r="J16" i="40"/>
  <c r="J20" i="40" s="1"/>
  <c r="F32" i="47" s="1"/>
  <c r="F109" i="47"/>
  <c r="F15" i="40"/>
  <c r="F20" i="40" s="1"/>
  <c r="F22" i="40" s="1"/>
  <c r="J29" i="41"/>
  <c r="F83" i="47"/>
  <c r="H43" i="47"/>
  <c r="F35" i="41"/>
  <c r="I30" i="41"/>
  <c r="I33" i="41" s="1"/>
  <c r="E43" i="47" s="1"/>
  <c r="J78" i="41"/>
  <c r="I32" i="47" l="1"/>
  <c r="J22" i="40"/>
  <c r="E32" i="47"/>
  <c r="H32" i="47"/>
  <c r="J30" i="41"/>
  <c r="J33" i="41" s="1"/>
  <c r="F43" i="47" s="1"/>
  <c r="F102" i="47"/>
  <c r="C101" i="39"/>
  <c r="C20" i="39" s="1"/>
  <c r="J100" i="39"/>
  <c r="H99" i="39"/>
  <c r="J99" i="39" s="1"/>
  <c r="H98" i="39"/>
  <c r="J98" i="39" s="1"/>
  <c r="E98" i="39"/>
  <c r="F98" i="39" s="1"/>
  <c r="J97" i="39"/>
  <c r="J96" i="39"/>
  <c r="J95" i="39"/>
  <c r="D93" i="39"/>
  <c r="E93" i="39" s="1"/>
  <c r="F93" i="39" s="1"/>
  <c r="D92" i="39"/>
  <c r="D91" i="39"/>
  <c r="E91" i="39" s="1"/>
  <c r="F91" i="39" s="1"/>
  <c r="D90" i="39"/>
  <c r="H90" i="39" s="1"/>
  <c r="I90" i="39" s="1"/>
  <c r="J90" i="39" s="1"/>
  <c r="H88" i="39"/>
  <c r="H19" i="39" s="1"/>
  <c r="D88" i="39"/>
  <c r="C88" i="39"/>
  <c r="C19" i="39" s="1"/>
  <c r="I87" i="39"/>
  <c r="I88" i="39" s="1"/>
  <c r="E88" i="39"/>
  <c r="H84" i="39"/>
  <c r="H18" i="39" s="1"/>
  <c r="D84" i="39"/>
  <c r="C84" i="39"/>
  <c r="C18" i="39" s="1"/>
  <c r="J83" i="39"/>
  <c r="J78" i="39"/>
  <c r="C76" i="39"/>
  <c r="C73" i="39"/>
  <c r="H71" i="39"/>
  <c r="H66" i="39"/>
  <c r="C65" i="39"/>
  <c r="C64" i="39"/>
  <c r="H64" i="39" s="1"/>
  <c r="J64" i="39" s="1"/>
  <c r="C63" i="39"/>
  <c r="C59" i="39"/>
  <c r="C58" i="39"/>
  <c r="C57" i="39"/>
  <c r="H57" i="39" s="1"/>
  <c r="J57" i="39" s="1"/>
  <c r="C56" i="39"/>
  <c r="C55" i="39"/>
  <c r="C54" i="39"/>
  <c r="C53" i="39"/>
  <c r="H53" i="39" s="1"/>
  <c r="J53" i="39" s="1"/>
  <c r="C52" i="39"/>
  <c r="C48" i="39"/>
  <c r="H48" i="39" s="1"/>
  <c r="C47" i="39"/>
  <c r="C46" i="39"/>
  <c r="C45" i="39"/>
  <c r="C41" i="39"/>
  <c r="H41" i="39" s="1"/>
  <c r="J41" i="39" s="1"/>
  <c r="C40" i="39"/>
  <c r="C39" i="39"/>
  <c r="C38" i="39"/>
  <c r="C37" i="39"/>
  <c r="H37" i="39" s="1"/>
  <c r="J37" i="39" s="1"/>
  <c r="C36" i="39"/>
  <c r="C35" i="39"/>
  <c r="C34" i="39"/>
  <c r="C32" i="39"/>
  <c r="C31" i="39"/>
  <c r="H30" i="39"/>
  <c r="J30" i="39" s="1"/>
  <c r="C29" i="39"/>
  <c r="H29" i="39" s="1"/>
  <c r="H28" i="39"/>
  <c r="H27" i="39"/>
  <c r="C11" i="39"/>
  <c r="H11" i="39" s="1"/>
  <c r="J11" i="39" s="1"/>
  <c r="C9" i="39"/>
  <c r="C8" i="39"/>
  <c r="C7" i="39"/>
  <c r="J6" i="39"/>
  <c r="J5" i="39"/>
  <c r="C51" i="37"/>
  <c r="D98" i="38"/>
  <c r="C98" i="38"/>
  <c r="C23" i="38" s="1"/>
  <c r="E97" i="38"/>
  <c r="J96" i="38"/>
  <c r="J95" i="38"/>
  <c r="H93" i="38"/>
  <c r="H94" i="38" s="1"/>
  <c r="J92" i="38"/>
  <c r="D22" i="38"/>
  <c r="C89" i="38"/>
  <c r="C22" i="38" s="1"/>
  <c r="I88" i="38"/>
  <c r="E22" i="38"/>
  <c r="F22" i="38" s="1"/>
  <c r="H84" i="38"/>
  <c r="H21" i="38" s="1"/>
  <c r="C75" i="38"/>
  <c r="H75" i="38" s="1"/>
  <c r="H74" i="38"/>
  <c r="H72" i="38"/>
  <c r="H70" i="38"/>
  <c r="H69" i="38"/>
  <c r="C65" i="38"/>
  <c r="H65" i="38" s="1"/>
  <c r="J63" i="38"/>
  <c r="C60" i="38"/>
  <c r="C59" i="38"/>
  <c r="C58" i="38"/>
  <c r="C57" i="38"/>
  <c r="C55" i="38"/>
  <c r="C54" i="38"/>
  <c r="C53" i="38"/>
  <c r="C52" i="38"/>
  <c r="C48" i="38"/>
  <c r="H48" i="38" s="1"/>
  <c r="C47" i="38"/>
  <c r="H47" i="38" s="1"/>
  <c r="H45" i="38"/>
  <c r="C41" i="38"/>
  <c r="C38" i="38"/>
  <c r="H38" i="38" s="1"/>
  <c r="C35" i="38"/>
  <c r="H34" i="38"/>
  <c r="J34" i="38" s="1"/>
  <c r="C31" i="38"/>
  <c r="C30" i="38"/>
  <c r="C14" i="38"/>
  <c r="H13" i="38"/>
  <c r="C12" i="38"/>
  <c r="C11" i="38"/>
  <c r="H10" i="38"/>
  <c r="J9" i="38"/>
  <c r="C8" i="38"/>
  <c r="C7" i="38"/>
  <c r="C6" i="38"/>
  <c r="D98" i="37"/>
  <c r="C98" i="37"/>
  <c r="J96" i="37"/>
  <c r="J95" i="37"/>
  <c r="J94" i="37"/>
  <c r="J93" i="37"/>
  <c r="F93" i="37"/>
  <c r="H89" i="37"/>
  <c r="H97" i="37" s="1"/>
  <c r="D89" i="37"/>
  <c r="C89" i="37"/>
  <c r="C22" i="37" s="1"/>
  <c r="I88" i="37"/>
  <c r="I89" i="37" s="1"/>
  <c r="E89" i="37"/>
  <c r="H85" i="37"/>
  <c r="H21" i="37" s="1"/>
  <c r="D85" i="37"/>
  <c r="C85" i="37"/>
  <c r="C21" i="37" s="1"/>
  <c r="J84" i="37"/>
  <c r="J78" i="37"/>
  <c r="C76" i="37"/>
  <c r="C75" i="37"/>
  <c r="C68" i="37"/>
  <c r="C65" i="37"/>
  <c r="C64" i="37"/>
  <c r="C63" i="37"/>
  <c r="C62" i="37"/>
  <c r="C61" i="37"/>
  <c r="C59" i="37"/>
  <c r="C58" i="37"/>
  <c r="C57" i="37"/>
  <c r="C52" i="37"/>
  <c r="H52" i="37" s="1"/>
  <c r="C50" i="37"/>
  <c r="C49" i="37"/>
  <c r="C45" i="37"/>
  <c r="C44" i="37"/>
  <c r="C43" i="37"/>
  <c r="C42" i="37"/>
  <c r="C39" i="37"/>
  <c r="C38" i="37"/>
  <c r="C37" i="37"/>
  <c r="C36" i="37"/>
  <c r="C34" i="37"/>
  <c r="C32" i="37"/>
  <c r="C31" i="37"/>
  <c r="C29" i="37"/>
  <c r="C28" i="37"/>
  <c r="C23" i="37"/>
  <c r="C14" i="37"/>
  <c r="C12" i="37"/>
  <c r="C10" i="37"/>
  <c r="C9" i="37"/>
  <c r="J8" i="37"/>
  <c r="C7" i="37"/>
  <c r="C6" i="37"/>
  <c r="J5" i="37"/>
  <c r="H102" i="34"/>
  <c r="H23" i="34" s="1"/>
  <c r="C102" i="34"/>
  <c r="C23" i="34" s="1"/>
  <c r="J100" i="34"/>
  <c r="J99" i="34"/>
  <c r="J98" i="34"/>
  <c r="J97" i="34"/>
  <c r="J96" i="34"/>
  <c r="D93" i="34"/>
  <c r="D92" i="34"/>
  <c r="E92" i="34" s="1"/>
  <c r="D91" i="34"/>
  <c r="E91" i="34" s="1"/>
  <c r="H89" i="34"/>
  <c r="H22" i="34" s="1"/>
  <c r="D89" i="34"/>
  <c r="C89" i="34"/>
  <c r="I88" i="34"/>
  <c r="I89" i="34" s="1"/>
  <c r="E89" i="34"/>
  <c r="H85" i="34"/>
  <c r="H21" i="34" s="1"/>
  <c r="D85" i="34"/>
  <c r="C85" i="34"/>
  <c r="J84" i="34"/>
  <c r="J79" i="34"/>
  <c r="H76" i="34"/>
  <c r="J76" i="34" s="1"/>
  <c r="H74" i="34"/>
  <c r="H73" i="34"/>
  <c r="C67" i="34"/>
  <c r="C66" i="34"/>
  <c r="C65" i="34"/>
  <c r="C61" i="34"/>
  <c r="C60" i="34"/>
  <c r="H60" i="34" s="1"/>
  <c r="C59" i="34"/>
  <c r="C58" i="34"/>
  <c r="C57" i="34"/>
  <c r="C56" i="34"/>
  <c r="C55" i="34"/>
  <c r="C51" i="34"/>
  <c r="H51" i="34" s="1"/>
  <c r="C50" i="34"/>
  <c r="H50" i="34" s="1"/>
  <c r="C49" i="34"/>
  <c r="C48" i="34"/>
  <c r="H48" i="34" s="1"/>
  <c r="C44" i="34"/>
  <c r="C43" i="34"/>
  <c r="C42" i="34"/>
  <c r="C41" i="34"/>
  <c r="C40" i="34"/>
  <c r="C39" i="34"/>
  <c r="C38" i="34"/>
  <c r="C37" i="34"/>
  <c r="C36" i="34"/>
  <c r="C35" i="34"/>
  <c r="C33" i="34"/>
  <c r="C32" i="34"/>
  <c r="C31" i="34"/>
  <c r="C30" i="34"/>
  <c r="C29" i="34"/>
  <c r="C22" i="34"/>
  <c r="C21" i="34"/>
  <c r="C14" i="34"/>
  <c r="C13" i="34"/>
  <c r="C12" i="34"/>
  <c r="H11" i="34"/>
  <c r="I11" i="34" s="1"/>
  <c r="J11" i="34" s="1"/>
  <c r="F10" i="34"/>
  <c r="L10" i="34" s="1"/>
  <c r="C8" i="34"/>
  <c r="C7" i="34"/>
  <c r="C6" i="34"/>
  <c r="C5" i="34"/>
  <c r="J88" i="38" l="1"/>
  <c r="I89" i="38"/>
  <c r="E153" i="47" s="1"/>
  <c r="I22" i="34"/>
  <c r="E151" i="47"/>
  <c r="E22" i="37"/>
  <c r="F22" i="37" s="1"/>
  <c r="I152" i="47"/>
  <c r="E19" i="39"/>
  <c r="F19" i="39" s="1"/>
  <c r="I154" i="47"/>
  <c r="I22" i="37"/>
  <c r="E152" i="47"/>
  <c r="D19" i="39"/>
  <c r="C154" i="47"/>
  <c r="D22" i="34"/>
  <c r="C151" i="47"/>
  <c r="E22" i="34"/>
  <c r="F22" i="34" s="1"/>
  <c r="I151" i="47"/>
  <c r="D22" i="37"/>
  <c r="C152" i="47"/>
  <c r="F98" i="37"/>
  <c r="H170" i="47" s="1"/>
  <c r="D23" i="37"/>
  <c r="C170" i="47"/>
  <c r="D21" i="37"/>
  <c r="C134" i="47"/>
  <c r="D23" i="38"/>
  <c r="C171" i="47"/>
  <c r="D21" i="34"/>
  <c r="C133" i="47"/>
  <c r="I19" i="39"/>
  <c r="E154" i="47"/>
  <c r="D18" i="39"/>
  <c r="C136" i="47"/>
  <c r="J88" i="37"/>
  <c r="J89" i="37" s="1"/>
  <c r="E85" i="34"/>
  <c r="D79" i="37"/>
  <c r="D101" i="39"/>
  <c r="H51" i="37"/>
  <c r="J51" i="37" s="1"/>
  <c r="H72" i="39"/>
  <c r="J72" i="39" s="1"/>
  <c r="E84" i="39"/>
  <c r="H47" i="39"/>
  <c r="J47" i="39" s="1"/>
  <c r="H10" i="39"/>
  <c r="J10" i="39" s="1"/>
  <c r="H93" i="39"/>
  <c r="I93" i="39" s="1"/>
  <c r="J93" i="39" s="1"/>
  <c r="I84" i="39"/>
  <c r="H77" i="39"/>
  <c r="J77" i="39" s="1"/>
  <c r="E90" i="39"/>
  <c r="F90" i="39" s="1"/>
  <c r="C79" i="39"/>
  <c r="C17" i="39" s="1"/>
  <c r="J87" i="39"/>
  <c r="J88" i="39" s="1"/>
  <c r="C42" i="39"/>
  <c r="C14" i="39" s="1"/>
  <c r="H56" i="38"/>
  <c r="J56" i="38" s="1"/>
  <c r="H89" i="38"/>
  <c r="H97" i="38" s="1"/>
  <c r="C15" i="38"/>
  <c r="H59" i="38"/>
  <c r="J59" i="38" s="1"/>
  <c r="H11" i="38"/>
  <c r="J11" i="38" s="1"/>
  <c r="H71" i="38"/>
  <c r="J71" i="38" s="1"/>
  <c r="D42" i="38"/>
  <c r="C42" i="38"/>
  <c r="C17" i="38" s="1"/>
  <c r="I83" i="38"/>
  <c r="H28" i="38"/>
  <c r="H30" i="38"/>
  <c r="J30" i="38" s="1"/>
  <c r="J13" i="38"/>
  <c r="C79" i="38"/>
  <c r="C84" i="38" s="1"/>
  <c r="C21" i="38" s="1"/>
  <c r="H45" i="37"/>
  <c r="J45" i="37" s="1"/>
  <c r="I85" i="37"/>
  <c r="H65" i="37"/>
  <c r="J65" i="37" s="1"/>
  <c r="J73" i="37"/>
  <c r="H57" i="37"/>
  <c r="J57" i="37" s="1"/>
  <c r="H12" i="37"/>
  <c r="H38" i="37"/>
  <c r="J38" i="37" s="1"/>
  <c r="H33" i="37"/>
  <c r="J7" i="37"/>
  <c r="C46" i="37"/>
  <c r="C17" i="37" s="1"/>
  <c r="E98" i="37"/>
  <c r="E85" i="37"/>
  <c r="H41" i="37"/>
  <c r="J41" i="37" s="1"/>
  <c r="H61" i="37"/>
  <c r="J61" i="37" s="1"/>
  <c r="J88" i="34"/>
  <c r="J89" i="34" s="1"/>
  <c r="J7" i="34"/>
  <c r="H61" i="34"/>
  <c r="J61" i="34" s="1"/>
  <c r="E97" i="34"/>
  <c r="F97" i="34" s="1"/>
  <c r="C15" i="34"/>
  <c r="H10" i="34"/>
  <c r="J10" i="34" s="1"/>
  <c r="H77" i="34"/>
  <c r="H45" i="39"/>
  <c r="D49" i="39"/>
  <c r="H31" i="39"/>
  <c r="H46" i="39"/>
  <c r="J46" i="39" s="1"/>
  <c r="H55" i="39"/>
  <c r="J55" i="39" s="1"/>
  <c r="H73" i="39"/>
  <c r="J73" i="39" s="1"/>
  <c r="H36" i="39"/>
  <c r="J36" i="39" s="1"/>
  <c r="H54" i="39"/>
  <c r="J54" i="39" s="1"/>
  <c r="H32" i="39"/>
  <c r="H56" i="39"/>
  <c r="I56" i="39" s="1"/>
  <c r="J56" i="39" s="1"/>
  <c r="E56" i="39"/>
  <c r="H65" i="39"/>
  <c r="J65" i="39" s="1"/>
  <c r="H9" i="39"/>
  <c r="J9" i="39" s="1"/>
  <c r="J48" i="39"/>
  <c r="H40" i="39"/>
  <c r="J40" i="39" s="1"/>
  <c r="D67" i="39"/>
  <c r="H52" i="39"/>
  <c r="H58" i="39"/>
  <c r="J58" i="39" s="1"/>
  <c r="H8" i="39"/>
  <c r="J8" i="39" s="1"/>
  <c r="H34" i="39"/>
  <c r="J34" i="39" s="1"/>
  <c r="H59" i="39"/>
  <c r="J59" i="39" s="1"/>
  <c r="H76" i="39"/>
  <c r="J76" i="39" s="1"/>
  <c r="H38" i="39"/>
  <c r="J38" i="39" s="1"/>
  <c r="H39" i="39"/>
  <c r="J39" i="39" s="1"/>
  <c r="D12" i="39"/>
  <c r="H7" i="39"/>
  <c r="H35" i="39"/>
  <c r="J35" i="39" s="1"/>
  <c r="J63" i="39"/>
  <c r="J28" i="39"/>
  <c r="H91" i="39"/>
  <c r="I91" i="39" s="1"/>
  <c r="J91" i="39" s="1"/>
  <c r="C49" i="39"/>
  <c r="C15" i="39" s="1"/>
  <c r="H70" i="39"/>
  <c r="C12" i="39"/>
  <c r="C67" i="39"/>
  <c r="C16" i="39" s="1"/>
  <c r="E92" i="39"/>
  <c r="J27" i="39"/>
  <c r="J29" i="39"/>
  <c r="J66" i="39"/>
  <c r="H92" i="39"/>
  <c r="J82" i="39"/>
  <c r="J84" i="39" s="1"/>
  <c r="J48" i="38"/>
  <c r="H54" i="38"/>
  <c r="J54" i="38" s="1"/>
  <c r="H57" i="38"/>
  <c r="J57" i="38" s="1"/>
  <c r="H60" i="38"/>
  <c r="J60" i="38" s="1"/>
  <c r="J65" i="38"/>
  <c r="J72" i="38"/>
  <c r="J75" i="38"/>
  <c r="D49" i="38"/>
  <c r="H31" i="38"/>
  <c r="J31" i="38" s="1"/>
  <c r="H35" i="38"/>
  <c r="J35" i="38" s="1"/>
  <c r="H58" i="38"/>
  <c r="J58" i="38" s="1"/>
  <c r="J38" i="38"/>
  <c r="H40" i="38"/>
  <c r="J40" i="38" s="1"/>
  <c r="J74" i="38"/>
  <c r="J5" i="38"/>
  <c r="H8" i="38"/>
  <c r="J8" i="38" s="1"/>
  <c r="H32" i="38"/>
  <c r="H46" i="38"/>
  <c r="J46" i="38" s="1"/>
  <c r="D66" i="38"/>
  <c r="H52" i="38"/>
  <c r="H55" i="38"/>
  <c r="J55" i="38" s="1"/>
  <c r="J78" i="38"/>
  <c r="H6" i="38"/>
  <c r="J6" i="38" s="1"/>
  <c r="H41" i="38"/>
  <c r="E98" i="38"/>
  <c r="D79" i="38"/>
  <c r="C116" i="47" s="1"/>
  <c r="J10" i="38"/>
  <c r="H12" i="38"/>
  <c r="J12" i="38" s="1"/>
  <c r="H14" i="38"/>
  <c r="J14" i="38" s="1"/>
  <c r="J47" i="38"/>
  <c r="H53" i="38"/>
  <c r="J53" i="38" s="1"/>
  <c r="H64" i="38"/>
  <c r="I64" i="38" s="1"/>
  <c r="E64" i="38"/>
  <c r="C49" i="38"/>
  <c r="C18" i="38" s="1"/>
  <c r="C66" i="38"/>
  <c r="C19" i="38" s="1"/>
  <c r="H49" i="37"/>
  <c r="D53" i="37"/>
  <c r="H29" i="37"/>
  <c r="J29" i="37" s="1"/>
  <c r="H75" i="37"/>
  <c r="H50" i="37"/>
  <c r="J50" i="37" s="1"/>
  <c r="H68" i="37"/>
  <c r="J68" i="37" s="1"/>
  <c r="C15" i="37"/>
  <c r="J52" i="37"/>
  <c r="H32" i="37"/>
  <c r="J32" i="37" s="1"/>
  <c r="H37" i="37"/>
  <c r="J37" i="37" s="1"/>
  <c r="J74" i="37"/>
  <c r="J10" i="37"/>
  <c r="H34" i="37"/>
  <c r="J34" i="37" s="1"/>
  <c r="H39" i="37"/>
  <c r="J39" i="37" s="1"/>
  <c r="H62" i="37"/>
  <c r="J62" i="37" s="1"/>
  <c r="J14" i="37"/>
  <c r="H44" i="37"/>
  <c r="J44" i="37" s="1"/>
  <c r="H58" i="37"/>
  <c r="J58" i="37" s="1"/>
  <c r="H63" i="37"/>
  <c r="J63" i="37" s="1"/>
  <c r="H98" i="37"/>
  <c r="H23" i="37" s="1"/>
  <c r="J97" i="37"/>
  <c r="H42" i="37"/>
  <c r="J42" i="37" s="1"/>
  <c r="J9" i="37"/>
  <c r="H43" i="37"/>
  <c r="J43" i="37" s="1"/>
  <c r="D15" i="37"/>
  <c r="H31" i="37"/>
  <c r="J31" i="37" s="1"/>
  <c r="H36" i="37"/>
  <c r="J36" i="37" s="1"/>
  <c r="H59" i="37"/>
  <c r="J59" i="37" s="1"/>
  <c r="C79" i="37"/>
  <c r="C20" i="37" s="1"/>
  <c r="J82" i="37"/>
  <c r="J85" i="37" s="1"/>
  <c r="J92" i="37"/>
  <c r="C53" i="37"/>
  <c r="C18" i="37" s="1"/>
  <c r="C69" i="37"/>
  <c r="C19" i="37" s="1"/>
  <c r="H64" i="37"/>
  <c r="J64" i="37" s="1"/>
  <c r="D69" i="37"/>
  <c r="H76" i="37"/>
  <c r="J76" i="37" s="1"/>
  <c r="H40" i="37"/>
  <c r="J40" i="37" s="1"/>
  <c r="H13" i="37"/>
  <c r="J13" i="37" s="1"/>
  <c r="H22" i="37"/>
  <c r="H57" i="34"/>
  <c r="J57" i="34" s="1"/>
  <c r="J72" i="34"/>
  <c r="D17" i="34"/>
  <c r="H41" i="34"/>
  <c r="H59" i="34"/>
  <c r="J59" i="34" s="1"/>
  <c r="H66" i="34"/>
  <c r="J66" i="34" s="1"/>
  <c r="J12" i="34"/>
  <c r="H43" i="34"/>
  <c r="J43" i="34" s="1"/>
  <c r="E45" i="34"/>
  <c r="I59" i="47" s="1"/>
  <c r="H56" i="34"/>
  <c r="J56" i="34" s="1"/>
  <c r="J83" i="34"/>
  <c r="J85" i="34" s="1"/>
  <c r="H44" i="34"/>
  <c r="J44" i="34" s="1"/>
  <c r="H49" i="34"/>
  <c r="J49" i="34" s="1"/>
  <c r="J13" i="34"/>
  <c r="H42" i="34"/>
  <c r="J42" i="34" s="1"/>
  <c r="J50" i="34"/>
  <c r="H58" i="34"/>
  <c r="J58" i="34" s="1"/>
  <c r="J60" i="34"/>
  <c r="H65" i="34"/>
  <c r="J65" i="34" s="1"/>
  <c r="J73" i="34"/>
  <c r="H29" i="34"/>
  <c r="D52" i="34"/>
  <c r="J8" i="34"/>
  <c r="H35" i="34"/>
  <c r="C45" i="34"/>
  <c r="C17" i="34" s="1"/>
  <c r="C80" i="34"/>
  <c r="C20" i="34" s="1"/>
  <c r="I93" i="34"/>
  <c r="E93" i="34"/>
  <c r="D102" i="34"/>
  <c r="H14" i="34"/>
  <c r="J14" i="34" s="1"/>
  <c r="H40" i="34"/>
  <c r="D15" i="34"/>
  <c r="C19" i="47" s="1"/>
  <c r="H9" i="34"/>
  <c r="F9" i="34"/>
  <c r="L9" i="34" s="1"/>
  <c r="H36" i="34"/>
  <c r="H39" i="34"/>
  <c r="J39" i="34" s="1"/>
  <c r="C68" i="34"/>
  <c r="C19" i="34" s="1"/>
  <c r="H67" i="34"/>
  <c r="J67" i="34" s="1"/>
  <c r="C52" i="34"/>
  <c r="C18" i="34" s="1"/>
  <c r="J77" i="34"/>
  <c r="E11" i="34"/>
  <c r="F11" i="34" s="1"/>
  <c r="L11" i="34" s="1"/>
  <c r="C95" i="32"/>
  <c r="C94" i="32"/>
  <c r="C93" i="32"/>
  <c r="C92" i="32"/>
  <c r="C91" i="32"/>
  <c r="C90" i="32"/>
  <c r="C89" i="32"/>
  <c r="C88" i="32"/>
  <c r="I84" i="32"/>
  <c r="I85" i="32" s="1"/>
  <c r="C84" i="32"/>
  <c r="C74" i="32"/>
  <c r="C73" i="32"/>
  <c r="C72" i="32"/>
  <c r="H72" i="32" s="1"/>
  <c r="J72" i="32" s="1"/>
  <c r="C71" i="32"/>
  <c r="C64" i="32"/>
  <c r="H64" i="32" s="1"/>
  <c r="J64" i="32" s="1"/>
  <c r="C60" i="32"/>
  <c r="C59" i="32"/>
  <c r="C58" i="32"/>
  <c r="C57" i="32"/>
  <c r="C56" i="32"/>
  <c r="C55" i="32"/>
  <c r="C54" i="32"/>
  <c r="C53" i="32"/>
  <c r="C52" i="32"/>
  <c r="C51" i="32"/>
  <c r="C46" i="32"/>
  <c r="H46" i="32" s="1"/>
  <c r="C45" i="32"/>
  <c r="C44" i="32"/>
  <c r="C40" i="32"/>
  <c r="C39" i="32"/>
  <c r="C38" i="32"/>
  <c r="C37" i="32"/>
  <c r="C36" i="32"/>
  <c r="C35" i="32"/>
  <c r="C34" i="32"/>
  <c r="C33" i="32"/>
  <c r="C31" i="32"/>
  <c r="C30" i="32"/>
  <c r="C29" i="32"/>
  <c r="C28" i="32"/>
  <c r="C27" i="32"/>
  <c r="C26" i="32"/>
  <c r="C12" i="32"/>
  <c r="H12" i="32" s="1"/>
  <c r="C11" i="32"/>
  <c r="H11" i="32" s="1"/>
  <c r="C10" i="32"/>
  <c r="H10" i="32" s="1"/>
  <c r="J10" i="32" s="1"/>
  <c r="C9" i="32"/>
  <c r="C8" i="32"/>
  <c r="H7" i="32"/>
  <c r="C6" i="32"/>
  <c r="C5" i="32"/>
  <c r="J64" i="38" l="1"/>
  <c r="I22" i="38"/>
  <c r="F56" i="39"/>
  <c r="L56" i="39" s="1"/>
  <c r="J22" i="34"/>
  <c r="F151" i="47"/>
  <c r="J89" i="38"/>
  <c r="F153" i="47" s="1"/>
  <c r="I21" i="37"/>
  <c r="E134" i="47"/>
  <c r="J21" i="37"/>
  <c r="F134" i="47"/>
  <c r="I21" i="34"/>
  <c r="E133" i="47"/>
  <c r="J21" i="34"/>
  <c r="F133" i="47"/>
  <c r="J18" i="39"/>
  <c r="F136" i="47"/>
  <c r="I18" i="39"/>
  <c r="E136" i="47"/>
  <c r="E23" i="37"/>
  <c r="F23" i="37" s="1"/>
  <c r="I170" i="47"/>
  <c r="E21" i="37"/>
  <c r="F21" i="37" s="1"/>
  <c r="I134" i="47"/>
  <c r="D20" i="37"/>
  <c r="C115" i="47"/>
  <c r="D19" i="37"/>
  <c r="C97" i="47"/>
  <c r="D18" i="37"/>
  <c r="C78" i="47"/>
  <c r="C20" i="47"/>
  <c r="E23" i="38"/>
  <c r="F23" i="38" s="1"/>
  <c r="I171" i="47"/>
  <c r="F64" i="38"/>
  <c r="F66" i="38" s="1"/>
  <c r="H98" i="47" s="1"/>
  <c r="D19" i="38"/>
  <c r="C98" i="47"/>
  <c r="D18" i="38"/>
  <c r="C79" i="47"/>
  <c r="D17" i="38"/>
  <c r="C61" i="47"/>
  <c r="D23" i="34"/>
  <c r="C169" i="47"/>
  <c r="F102" i="34"/>
  <c r="H169" i="47" s="1"/>
  <c r="E21" i="34"/>
  <c r="F21" i="34" s="1"/>
  <c r="I133" i="47"/>
  <c r="D18" i="34"/>
  <c r="C77" i="47"/>
  <c r="D20" i="39"/>
  <c r="C172" i="47"/>
  <c r="E18" i="39"/>
  <c r="F18" i="39" s="1"/>
  <c r="I136" i="47"/>
  <c r="J19" i="39"/>
  <c r="F154" i="47"/>
  <c r="D16" i="39"/>
  <c r="C99" i="47"/>
  <c r="C80" i="47"/>
  <c r="D15" i="39"/>
  <c r="C22" i="47"/>
  <c r="J22" i="37"/>
  <c r="F152" i="47"/>
  <c r="F15" i="34"/>
  <c r="E101" i="39"/>
  <c r="F92" i="39"/>
  <c r="F101" i="39" s="1"/>
  <c r="H172" i="47" s="1"/>
  <c r="J83" i="38"/>
  <c r="J84" i="38" s="1"/>
  <c r="F135" i="47" s="1"/>
  <c r="H45" i="34"/>
  <c r="H17" i="34" s="1"/>
  <c r="D80" i="34"/>
  <c r="J32" i="38"/>
  <c r="J31" i="39"/>
  <c r="J72" i="37"/>
  <c r="E79" i="37"/>
  <c r="J33" i="37"/>
  <c r="H101" i="39"/>
  <c r="H20" i="39" s="1"/>
  <c r="C21" i="39"/>
  <c r="C23" i="39" s="1"/>
  <c r="H12" i="39"/>
  <c r="E49" i="38"/>
  <c r="H7" i="38"/>
  <c r="J7" i="38" s="1"/>
  <c r="J15" i="38" s="1"/>
  <c r="F21" i="47" s="1"/>
  <c r="D15" i="38"/>
  <c r="H22" i="38"/>
  <c r="J97" i="38"/>
  <c r="J98" i="38" s="1"/>
  <c r="H98" i="38"/>
  <c r="H23" i="38" s="1"/>
  <c r="E42" i="38"/>
  <c r="E15" i="38"/>
  <c r="E66" i="38"/>
  <c r="H42" i="38"/>
  <c r="H17" i="38" s="1"/>
  <c r="C20" i="38"/>
  <c r="C24" i="38" s="1"/>
  <c r="C26" i="38" s="1"/>
  <c r="E15" i="37"/>
  <c r="J98" i="37"/>
  <c r="C24" i="37"/>
  <c r="C26" i="37" s="1"/>
  <c r="I98" i="37"/>
  <c r="H15" i="37"/>
  <c r="E69" i="37"/>
  <c r="E102" i="34"/>
  <c r="E52" i="34"/>
  <c r="H52" i="34"/>
  <c r="H18" i="34" s="1"/>
  <c r="E17" i="34"/>
  <c r="F17" i="34" s="1"/>
  <c r="H15" i="34"/>
  <c r="H33" i="32"/>
  <c r="J33" i="32" s="1"/>
  <c r="H47" i="32"/>
  <c r="J47" i="32" s="1"/>
  <c r="J12" i="32"/>
  <c r="C85" i="32"/>
  <c r="C20" i="32" s="1"/>
  <c r="D81" i="32"/>
  <c r="C81" i="32"/>
  <c r="C19" i="32" s="1"/>
  <c r="E79" i="39"/>
  <c r="F79" i="39" s="1"/>
  <c r="H117" i="47" s="1"/>
  <c r="H79" i="39"/>
  <c r="H17" i="39" s="1"/>
  <c r="D79" i="39"/>
  <c r="H67" i="39"/>
  <c r="H16" i="39" s="1"/>
  <c r="H49" i="39"/>
  <c r="H15" i="39" s="1"/>
  <c r="E49" i="39"/>
  <c r="H26" i="39"/>
  <c r="H42" i="39" s="1"/>
  <c r="D14" i="39"/>
  <c r="E14" i="39"/>
  <c r="F14" i="39" s="1"/>
  <c r="E67" i="39"/>
  <c r="I92" i="39"/>
  <c r="J69" i="38"/>
  <c r="J28" i="38"/>
  <c r="J41" i="38"/>
  <c r="E79" i="38"/>
  <c r="I116" i="47" s="1"/>
  <c r="D21" i="38"/>
  <c r="D20" i="38"/>
  <c r="H79" i="38"/>
  <c r="H20" i="38" s="1"/>
  <c r="H66" i="38"/>
  <c r="H19" i="38" s="1"/>
  <c r="J45" i="38"/>
  <c r="I49" i="38"/>
  <c r="E79" i="47" s="1"/>
  <c r="H49" i="38"/>
  <c r="H18" i="38" s="1"/>
  <c r="H69" i="37"/>
  <c r="H19" i="37" s="1"/>
  <c r="H53" i="37"/>
  <c r="H18" i="37" s="1"/>
  <c r="I69" i="37"/>
  <c r="E53" i="37"/>
  <c r="E46" i="37"/>
  <c r="D46" i="37"/>
  <c r="H28" i="37"/>
  <c r="H46" i="37" s="1"/>
  <c r="H17" i="37" s="1"/>
  <c r="I79" i="37"/>
  <c r="E115" i="47" s="1"/>
  <c r="J9" i="34"/>
  <c r="J74" i="34"/>
  <c r="H55" i="34"/>
  <c r="H68" i="34" s="1"/>
  <c r="H19" i="34" s="1"/>
  <c r="D68" i="34"/>
  <c r="E68" i="34"/>
  <c r="J51" i="34"/>
  <c r="J6" i="34"/>
  <c r="E15" i="34"/>
  <c r="I19" i="47" s="1"/>
  <c r="I102" i="34"/>
  <c r="J93" i="34"/>
  <c r="J102" i="34" s="1"/>
  <c r="H78" i="34"/>
  <c r="J78" i="34" s="1"/>
  <c r="E80" i="34"/>
  <c r="I114" i="47" s="1"/>
  <c r="J48" i="34"/>
  <c r="C24" i="34"/>
  <c r="C26" i="34" s="1"/>
  <c r="J5" i="34"/>
  <c r="H40" i="32"/>
  <c r="J40" i="32" s="1"/>
  <c r="H52" i="32"/>
  <c r="J52" i="32" s="1"/>
  <c r="J60" i="32"/>
  <c r="J28" i="32"/>
  <c r="D13" i="32"/>
  <c r="C17" i="47" s="1"/>
  <c r="J92" i="32"/>
  <c r="J46" i="32"/>
  <c r="H56" i="32"/>
  <c r="J56" i="32" s="1"/>
  <c r="H9" i="32"/>
  <c r="J9" i="32" s="1"/>
  <c r="D75" i="32"/>
  <c r="J58" i="32"/>
  <c r="J94" i="32"/>
  <c r="H39" i="32"/>
  <c r="J39" i="32" s="1"/>
  <c r="J91" i="32"/>
  <c r="D41" i="32"/>
  <c r="H26" i="32"/>
  <c r="H34" i="32"/>
  <c r="J34" i="32" s="1"/>
  <c r="H37" i="32"/>
  <c r="J37" i="32" s="1"/>
  <c r="J74" i="32"/>
  <c r="J80" i="32"/>
  <c r="J11" i="32"/>
  <c r="J7" i="32"/>
  <c r="H29" i="32"/>
  <c r="J29" i="32" s="1"/>
  <c r="H35" i="32"/>
  <c r="J35" i="32" s="1"/>
  <c r="H38" i="32"/>
  <c r="J38" i="32" s="1"/>
  <c r="H57" i="32"/>
  <c r="C65" i="32"/>
  <c r="C17" i="32" s="1"/>
  <c r="J70" i="32"/>
  <c r="J90" i="32"/>
  <c r="J27" i="32"/>
  <c r="H30" i="32"/>
  <c r="J30" i="32" s="1"/>
  <c r="H44" i="32"/>
  <c r="J44" i="32" s="1"/>
  <c r="H73" i="32"/>
  <c r="J73" i="32" s="1"/>
  <c r="J8" i="32"/>
  <c r="J84" i="32"/>
  <c r="H59" i="32"/>
  <c r="J59" i="32" s="1"/>
  <c r="D85" i="32"/>
  <c r="H85" i="32"/>
  <c r="H20" i="32" s="1"/>
  <c r="E85" i="32"/>
  <c r="E89" i="32"/>
  <c r="F89" i="32" s="1"/>
  <c r="H95" i="32"/>
  <c r="J95" i="32" s="1"/>
  <c r="E95" i="32"/>
  <c r="F95" i="32" s="1"/>
  <c r="H36" i="32"/>
  <c r="J36" i="32" s="1"/>
  <c r="C96" i="32"/>
  <c r="C21" i="32" s="1"/>
  <c r="H55" i="32"/>
  <c r="J55" i="32" s="1"/>
  <c r="H71" i="32"/>
  <c r="C13" i="32"/>
  <c r="H31" i="32"/>
  <c r="J31" i="32" s="1"/>
  <c r="C48" i="32"/>
  <c r="C16" i="32" s="1"/>
  <c r="D48" i="32"/>
  <c r="C75" i="47" s="1"/>
  <c r="H53" i="32"/>
  <c r="J53" i="32" s="1"/>
  <c r="J69" i="32"/>
  <c r="H89" i="32"/>
  <c r="J89" i="32" s="1"/>
  <c r="H51" i="32"/>
  <c r="J51" i="32" s="1"/>
  <c r="D65" i="32"/>
  <c r="C94" i="47" s="1"/>
  <c r="H54" i="32"/>
  <c r="J54" i="32" s="1"/>
  <c r="C75" i="32"/>
  <c r="C18" i="32" s="1"/>
  <c r="J93" i="32"/>
  <c r="D96" i="32"/>
  <c r="C41" i="32"/>
  <c r="C15" i="32" s="1"/>
  <c r="E97" i="47" l="1"/>
  <c r="N75" i="37"/>
  <c r="N73" i="37"/>
  <c r="H73" i="37" s="1"/>
  <c r="H79" i="37" s="1"/>
  <c r="H20" i="37" s="1"/>
  <c r="H24" i="37" s="1"/>
  <c r="H26" i="37" s="1"/>
  <c r="F67" i="39"/>
  <c r="H99" i="47" s="1"/>
  <c r="J22" i="38"/>
  <c r="E20" i="32"/>
  <c r="F20" i="32" s="1"/>
  <c r="I149" i="47"/>
  <c r="D20" i="32"/>
  <c r="C149" i="47"/>
  <c r="L64" i="38"/>
  <c r="J23" i="38"/>
  <c r="F171" i="47"/>
  <c r="H19" i="47"/>
  <c r="I23" i="37"/>
  <c r="E170" i="47"/>
  <c r="J23" i="37"/>
  <c r="F170" i="47"/>
  <c r="E20" i="37"/>
  <c r="F20" i="37" s="1"/>
  <c r="I115" i="47"/>
  <c r="E19" i="37"/>
  <c r="F19" i="37" s="1"/>
  <c r="I97" i="47"/>
  <c r="E18" i="37"/>
  <c r="F18" i="37" s="1"/>
  <c r="I78" i="47"/>
  <c r="E17" i="37"/>
  <c r="F17" i="37" s="1"/>
  <c r="I60" i="47"/>
  <c r="D17" i="37"/>
  <c r="D24" i="37" s="1"/>
  <c r="C60" i="47"/>
  <c r="I20" i="47"/>
  <c r="D19" i="32"/>
  <c r="C131" i="47"/>
  <c r="D18" i="32"/>
  <c r="C112" i="47"/>
  <c r="D15" i="32"/>
  <c r="C57" i="47"/>
  <c r="E19" i="38"/>
  <c r="F19" i="38" s="1"/>
  <c r="I98" i="47"/>
  <c r="E18" i="38"/>
  <c r="F18" i="38" s="1"/>
  <c r="I79" i="47"/>
  <c r="E17" i="38"/>
  <c r="F17" i="38" s="1"/>
  <c r="I61" i="47"/>
  <c r="I21" i="47"/>
  <c r="C21" i="47"/>
  <c r="J23" i="34"/>
  <c r="F169" i="47"/>
  <c r="I23" i="34"/>
  <c r="E169" i="47"/>
  <c r="E23" i="34"/>
  <c r="F23" i="34" s="1"/>
  <c r="I169" i="47"/>
  <c r="D20" i="34"/>
  <c r="C114" i="47"/>
  <c r="E19" i="34"/>
  <c r="F19" i="34" s="1"/>
  <c r="I96" i="47"/>
  <c r="D19" i="34"/>
  <c r="C96" i="47"/>
  <c r="E18" i="34"/>
  <c r="F18" i="34" s="1"/>
  <c r="I77" i="47"/>
  <c r="E20" i="39"/>
  <c r="F20" i="39" s="1"/>
  <c r="I172" i="47"/>
  <c r="E17" i="39"/>
  <c r="F17" i="39" s="1"/>
  <c r="I117" i="47"/>
  <c r="D17" i="39"/>
  <c r="D21" i="39" s="1"/>
  <c r="C117" i="47"/>
  <c r="E16" i="39"/>
  <c r="F16" i="39" s="1"/>
  <c r="I99" i="47"/>
  <c r="I80" i="47"/>
  <c r="E15" i="39"/>
  <c r="F15" i="39" s="1"/>
  <c r="H14" i="39"/>
  <c r="H21" i="39" s="1"/>
  <c r="H23" i="39" s="1"/>
  <c r="D21" i="32"/>
  <c r="C167" i="47"/>
  <c r="F96" i="32"/>
  <c r="H167" i="47" s="1"/>
  <c r="J32" i="39"/>
  <c r="I42" i="39"/>
  <c r="E62" i="47" s="1"/>
  <c r="J45" i="34"/>
  <c r="I45" i="34"/>
  <c r="J57" i="32"/>
  <c r="I65" i="32"/>
  <c r="H80" i="34"/>
  <c r="H20" i="34" s="1"/>
  <c r="H24" i="34" s="1"/>
  <c r="H26" i="34" s="1"/>
  <c r="E20" i="34"/>
  <c r="F20" i="34" s="1"/>
  <c r="J8" i="41"/>
  <c r="J14" i="41"/>
  <c r="J9" i="41"/>
  <c r="J32" i="32"/>
  <c r="H15" i="38"/>
  <c r="I98" i="38"/>
  <c r="I15" i="38"/>
  <c r="H24" i="38"/>
  <c r="D24" i="38"/>
  <c r="C39" i="47" s="1"/>
  <c r="J28" i="37"/>
  <c r="J46" i="37" s="1"/>
  <c r="I52" i="34"/>
  <c r="I68" i="34"/>
  <c r="H13" i="32"/>
  <c r="E81" i="32"/>
  <c r="H131" i="47" s="1"/>
  <c r="H141" i="47" s="1"/>
  <c r="H81" i="32"/>
  <c r="H19" i="32" s="1"/>
  <c r="I49" i="39"/>
  <c r="E80" i="47" s="1"/>
  <c r="J45" i="39"/>
  <c r="I101" i="39"/>
  <c r="J92" i="39"/>
  <c r="J101" i="39" s="1"/>
  <c r="J7" i="39"/>
  <c r="J12" i="39" s="1"/>
  <c r="I12" i="39"/>
  <c r="L31" i="39" s="1"/>
  <c r="J52" i="39"/>
  <c r="I67" i="39"/>
  <c r="E20" i="38"/>
  <c r="F20" i="38" s="1"/>
  <c r="E21" i="38"/>
  <c r="F21" i="38" s="1"/>
  <c r="J49" i="38"/>
  <c r="I18" i="38"/>
  <c r="J42" i="38"/>
  <c r="J52" i="38"/>
  <c r="I66" i="38"/>
  <c r="I42" i="38"/>
  <c r="J21" i="38"/>
  <c r="I21" i="38"/>
  <c r="I20" i="37"/>
  <c r="J75" i="37"/>
  <c r="J79" i="37" s="1"/>
  <c r="F115" i="47" s="1"/>
  <c r="I19" i="37"/>
  <c r="J69" i="37"/>
  <c r="J6" i="37"/>
  <c r="J15" i="37" s="1"/>
  <c r="I15" i="37"/>
  <c r="L33" i="37" s="1"/>
  <c r="I53" i="37"/>
  <c r="E78" i="47" s="1"/>
  <c r="J49" i="37"/>
  <c r="I15" i="34"/>
  <c r="L34" i="34" s="1"/>
  <c r="J15" i="34"/>
  <c r="J68" i="32"/>
  <c r="H96" i="32"/>
  <c r="H21" i="32" s="1"/>
  <c r="C22" i="32"/>
  <c r="C24" i="32" s="1"/>
  <c r="D17" i="32"/>
  <c r="E96" i="32"/>
  <c r="E75" i="32"/>
  <c r="F75" i="32" s="1"/>
  <c r="H112" i="47" s="1"/>
  <c r="E65" i="32"/>
  <c r="H45" i="32"/>
  <c r="E48" i="32"/>
  <c r="H65" i="32"/>
  <c r="H17" i="32" s="1"/>
  <c r="J5" i="32"/>
  <c r="I41" i="32"/>
  <c r="J26" i="32"/>
  <c r="E41" i="32"/>
  <c r="H75" i="32"/>
  <c r="H18" i="32" s="1"/>
  <c r="H41" i="32"/>
  <c r="H15" i="32" s="1"/>
  <c r="J6" i="32"/>
  <c r="E13" i="32"/>
  <c r="D16" i="32"/>
  <c r="E96" i="47" l="1"/>
  <c r="E99" i="47"/>
  <c r="J71" i="39"/>
  <c r="E98" i="47"/>
  <c r="E94" i="47"/>
  <c r="J71" i="32"/>
  <c r="J75" i="32" s="1"/>
  <c r="E21" i="47"/>
  <c r="L32" i="38"/>
  <c r="D24" i="34"/>
  <c r="D26" i="34" s="1"/>
  <c r="F24" i="37"/>
  <c r="F26" i="37" s="1"/>
  <c r="I23" i="38"/>
  <c r="E171" i="47"/>
  <c r="J19" i="37"/>
  <c r="F97" i="47"/>
  <c r="E24" i="37"/>
  <c r="I38" i="47" s="1"/>
  <c r="I18" i="32"/>
  <c r="E112" i="47"/>
  <c r="J52" i="34"/>
  <c r="J18" i="34" s="1"/>
  <c r="E77" i="47"/>
  <c r="E19" i="47"/>
  <c r="F19" i="47"/>
  <c r="J17" i="37"/>
  <c r="F60" i="47"/>
  <c r="C38" i="47"/>
  <c r="D26" i="37"/>
  <c r="E20" i="47"/>
  <c r="F20" i="47"/>
  <c r="E19" i="32"/>
  <c r="F19" i="32" s="1"/>
  <c r="I131" i="47"/>
  <c r="E18" i="32"/>
  <c r="F18" i="32" s="1"/>
  <c r="I112" i="47"/>
  <c r="E17" i="32"/>
  <c r="F17" i="32" s="1"/>
  <c r="I94" i="47"/>
  <c r="E16" i="32"/>
  <c r="F16" i="32" s="1"/>
  <c r="I75" i="47"/>
  <c r="E15" i="32"/>
  <c r="F15" i="32" s="1"/>
  <c r="I57" i="47"/>
  <c r="I15" i="32"/>
  <c r="E57" i="47"/>
  <c r="I17" i="47"/>
  <c r="J18" i="38"/>
  <c r="F79" i="47"/>
  <c r="I17" i="38"/>
  <c r="E61" i="47"/>
  <c r="J17" i="38"/>
  <c r="F61" i="47"/>
  <c r="H26" i="38"/>
  <c r="D26" i="38"/>
  <c r="I17" i="34"/>
  <c r="E59" i="47"/>
  <c r="J17" i="34"/>
  <c r="F59" i="47"/>
  <c r="J20" i="39"/>
  <c r="F172" i="47"/>
  <c r="I20" i="39"/>
  <c r="E172" i="47"/>
  <c r="F21" i="39"/>
  <c r="H40" i="47" s="1"/>
  <c r="E21" i="39"/>
  <c r="E23" i="39" s="1"/>
  <c r="C40" i="47"/>
  <c r="D23" i="39"/>
  <c r="E22" i="47"/>
  <c r="F22" i="47"/>
  <c r="E21" i="32"/>
  <c r="I167" i="47"/>
  <c r="F24" i="38"/>
  <c r="F26" i="38" s="1"/>
  <c r="E24" i="34"/>
  <c r="E26" i="34" s="1"/>
  <c r="F24" i="34"/>
  <c r="F26" i="34" s="1"/>
  <c r="J41" i="32"/>
  <c r="J45" i="32"/>
  <c r="I48" i="32"/>
  <c r="E75" i="47" s="1"/>
  <c r="J12" i="41"/>
  <c r="J20" i="37"/>
  <c r="J16" i="41"/>
  <c r="E24" i="38"/>
  <c r="I18" i="34"/>
  <c r="J55" i="34"/>
  <c r="I13" i="32"/>
  <c r="D22" i="32"/>
  <c r="D24" i="32" s="1"/>
  <c r="H48" i="32"/>
  <c r="H16" i="32" s="1"/>
  <c r="H22" i="32" s="1"/>
  <c r="H24" i="32" s="1"/>
  <c r="I79" i="39"/>
  <c r="J70" i="39"/>
  <c r="J79" i="39" s="1"/>
  <c r="J67" i="39"/>
  <c r="I16" i="39"/>
  <c r="J26" i="39"/>
  <c r="I14" i="39"/>
  <c r="I15" i="39"/>
  <c r="J49" i="39"/>
  <c r="I19" i="38"/>
  <c r="J66" i="38"/>
  <c r="I18" i="37"/>
  <c r="J53" i="37"/>
  <c r="I19" i="34"/>
  <c r="J68" i="34"/>
  <c r="J13" i="32"/>
  <c r="F17" i="47" s="1"/>
  <c r="J85" i="32"/>
  <c r="J78" i="32"/>
  <c r="J81" i="32" s="1"/>
  <c r="I81" i="32"/>
  <c r="J88" i="32"/>
  <c r="J96" i="32" s="1"/>
  <c r="H38" i="47" l="1"/>
  <c r="J18" i="32"/>
  <c r="F112" i="47"/>
  <c r="C37" i="47"/>
  <c r="J70" i="38"/>
  <c r="J79" i="38" s="1"/>
  <c r="I79" i="38"/>
  <c r="J71" i="34"/>
  <c r="J80" i="34" s="1"/>
  <c r="I80" i="34"/>
  <c r="E17" i="47"/>
  <c r="M32" i="32"/>
  <c r="E26" i="37"/>
  <c r="F77" i="47"/>
  <c r="J18" i="37"/>
  <c r="F78" i="47"/>
  <c r="J19" i="32"/>
  <c r="F131" i="47"/>
  <c r="I19" i="32"/>
  <c r="E131" i="47"/>
  <c r="I20" i="32"/>
  <c r="E149" i="47"/>
  <c r="J20" i="32"/>
  <c r="F149" i="47"/>
  <c r="I17" i="37"/>
  <c r="I24" i="37" s="1"/>
  <c r="E60" i="47"/>
  <c r="I21" i="32"/>
  <c r="E167" i="47"/>
  <c r="J21" i="32"/>
  <c r="F167" i="47"/>
  <c r="F21" i="32"/>
  <c r="F22" i="32" s="1"/>
  <c r="J15" i="32"/>
  <c r="F57" i="47"/>
  <c r="J19" i="38"/>
  <c r="F98" i="47"/>
  <c r="I39" i="47"/>
  <c r="E26" i="38"/>
  <c r="I37" i="47"/>
  <c r="H37" i="47"/>
  <c r="J19" i="34"/>
  <c r="F96" i="47"/>
  <c r="I17" i="39"/>
  <c r="I21" i="39" s="1"/>
  <c r="E117" i="47"/>
  <c r="F23" i="39"/>
  <c r="J15" i="39"/>
  <c r="F80" i="47"/>
  <c r="J17" i="39"/>
  <c r="F117" i="47"/>
  <c r="I40" i="47"/>
  <c r="J16" i="39"/>
  <c r="F99" i="47"/>
  <c r="C35" i="47"/>
  <c r="E22" i="32"/>
  <c r="E24" i="32" s="1"/>
  <c r="H39" i="47"/>
  <c r="J42" i="39"/>
  <c r="J24" i="37"/>
  <c r="J26" i="37" s="1"/>
  <c r="I16" i="32"/>
  <c r="J65" i="32"/>
  <c r="I17" i="32"/>
  <c r="F114" i="47" l="1"/>
  <c r="J20" i="34"/>
  <c r="J24" i="34" s="1"/>
  <c r="E114" i="47"/>
  <c r="I20" i="34"/>
  <c r="I24" i="34" s="1"/>
  <c r="I26" i="34" s="1"/>
  <c r="E116" i="47"/>
  <c r="I20" i="38"/>
  <c r="I24" i="38" s="1"/>
  <c r="I26" i="38" s="1"/>
  <c r="F116" i="47"/>
  <c r="J20" i="38"/>
  <c r="J24" i="38" s="1"/>
  <c r="E38" i="47"/>
  <c r="I26" i="37"/>
  <c r="F24" i="32"/>
  <c r="H35" i="47"/>
  <c r="J17" i="32"/>
  <c r="F94" i="47"/>
  <c r="J14" i="39"/>
  <c r="J21" i="39" s="1"/>
  <c r="F62" i="47"/>
  <c r="E40" i="47"/>
  <c r="I23" i="39"/>
  <c r="I35" i="47"/>
  <c r="F38" i="47"/>
  <c r="I22" i="32"/>
  <c r="J48" i="32"/>
  <c r="J94" i="31"/>
  <c r="J93" i="31"/>
  <c r="J92" i="31"/>
  <c r="J91" i="31"/>
  <c r="H81" i="31"/>
  <c r="H20" i="31" s="1"/>
  <c r="D81" i="31"/>
  <c r="J80" i="31"/>
  <c r="C80" i="31"/>
  <c r="J79" i="31"/>
  <c r="D86" i="31"/>
  <c r="C86" i="31"/>
  <c r="C21" i="31" s="1"/>
  <c r="H85" i="31"/>
  <c r="I85" i="31" s="1"/>
  <c r="J85" i="31" s="1"/>
  <c r="E85" i="31"/>
  <c r="H72" i="31"/>
  <c r="H70" i="31"/>
  <c r="C65" i="31"/>
  <c r="C62" i="31"/>
  <c r="C61" i="31"/>
  <c r="H61" i="31" s="1"/>
  <c r="C60" i="31"/>
  <c r="J59" i="31"/>
  <c r="J58" i="31"/>
  <c r="C56" i="31"/>
  <c r="C55" i="31"/>
  <c r="C54" i="31"/>
  <c r="C53" i="31"/>
  <c r="C49" i="31"/>
  <c r="H49" i="31" s="1"/>
  <c r="C48" i="31"/>
  <c r="H48" i="31" s="1"/>
  <c r="C47" i="31"/>
  <c r="C46" i="31"/>
  <c r="C42" i="31"/>
  <c r="C41" i="31"/>
  <c r="C40" i="31"/>
  <c r="C39" i="31"/>
  <c r="C38" i="31"/>
  <c r="C37" i="31"/>
  <c r="C36" i="31"/>
  <c r="H36" i="31" s="1"/>
  <c r="C35" i="31"/>
  <c r="C34" i="31"/>
  <c r="C32" i="31"/>
  <c r="C31" i="31"/>
  <c r="C29" i="31"/>
  <c r="C13" i="31"/>
  <c r="C11" i="31"/>
  <c r="C10" i="31"/>
  <c r="C9" i="31"/>
  <c r="J8" i="31"/>
  <c r="C7" i="31"/>
  <c r="C6" i="31"/>
  <c r="C5" i="31"/>
  <c r="E37" i="47" l="1"/>
  <c r="E39" i="47"/>
  <c r="J26" i="38"/>
  <c r="F39" i="47"/>
  <c r="J26" i="34"/>
  <c r="F37" i="47"/>
  <c r="D21" i="31"/>
  <c r="C150" i="47"/>
  <c r="C96" i="31"/>
  <c r="D20" i="31"/>
  <c r="C132" i="47"/>
  <c r="J16" i="32"/>
  <c r="J22" i="32" s="1"/>
  <c r="F75" i="47"/>
  <c r="I24" i="32"/>
  <c r="E35" i="47"/>
  <c r="F40" i="47"/>
  <c r="J23" i="39"/>
  <c r="J89" i="31"/>
  <c r="D22" i="31"/>
  <c r="J81" i="31"/>
  <c r="E86" i="31"/>
  <c r="J6" i="31"/>
  <c r="H95" i="31"/>
  <c r="J95" i="31" s="1"/>
  <c r="H38" i="31"/>
  <c r="J38" i="31" s="1"/>
  <c r="C81" i="31"/>
  <c r="C20" i="31" s="1"/>
  <c r="I81" i="31"/>
  <c r="E81" i="31"/>
  <c r="C43" i="31"/>
  <c r="C16" i="31" s="1"/>
  <c r="H86" i="31"/>
  <c r="H21" i="31" s="1"/>
  <c r="J72" i="31"/>
  <c r="I86" i="31"/>
  <c r="J10" i="31"/>
  <c r="H37" i="31"/>
  <c r="J37" i="31" s="1"/>
  <c r="H47" i="31"/>
  <c r="J47" i="31" s="1"/>
  <c r="J62" i="31"/>
  <c r="H41" i="31"/>
  <c r="J41" i="31" s="1"/>
  <c r="J49" i="31"/>
  <c r="J9" i="31"/>
  <c r="C14" i="31"/>
  <c r="H42" i="31"/>
  <c r="J42" i="31" s="1"/>
  <c r="D14" i="31"/>
  <c r="H35" i="31"/>
  <c r="I35" i="31" s="1"/>
  <c r="J48" i="31"/>
  <c r="H55" i="31"/>
  <c r="J55" i="31" s="1"/>
  <c r="J65" i="31"/>
  <c r="J74" i="31"/>
  <c r="C76" i="31"/>
  <c r="C19" i="31" s="1"/>
  <c r="H40" i="31"/>
  <c r="J40" i="31" s="1"/>
  <c r="J61" i="31"/>
  <c r="J71" i="31"/>
  <c r="D50" i="31"/>
  <c r="J84" i="31"/>
  <c r="J86" i="31" s="1"/>
  <c r="D76" i="31"/>
  <c r="J13" i="31"/>
  <c r="J75" i="31"/>
  <c r="H31" i="31"/>
  <c r="J31" i="31" s="1"/>
  <c r="C66" i="31"/>
  <c r="C18" i="31" s="1"/>
  <c r="J36" i="31"/>
  <c r="H34" i="31"/>
  <c r="J34" i="31" s="1"/>
  <c r="H56" i="31"/>
  <c r="J56" i="31" s="1"/>
  <c r="H46" i="31"/>
  <c r="J7" i="31"/>
  <c r="H39" i="31"/>
  <c r="J39" i="31" s="1"/>
  <c r="H54" i="31"/>
  <c r="J54" i="31" s="1"/>
  <c r="H32" i="31"/>
  <c r="J32" i="31" s="1"/>
  <c r="H60" i="31"/>
  <c r="J60" i="31" s="1"/>
  <c r="E90" i="31"/>
  <c r="H90" i="31"/>
  <c r="C50" i="31"/>
  <c r="C17" i="31" s="1"/>
  <c r="E21" i="31" l="1"/>
  <c r="F21" i="31" s="1"/>
  <c r="I150" i="47"/>
  <c r="J20" i="31"/>
  <c r="F132" i="47"/>
  <c r="I20" i="31"/>
  <c r="E132" i="47"/>
  <c r="E96" i="31"/>
  <c r="I168" i="47" s="1"/>
  <c r="E20" i="31"/>
  <c r="F20" i="31" s="1"/>
  <c r="I132" i="47"/>
  <c r="D19" i="31"/>
  <c r="C113" i="47"/>
  <c r="J21" i="31"/>
  <c r="F150" i="47"/>
  <c r="I21" i="31"/>
  <c r="E150" i="47"/>
  <c r="D17" i="31"/>
  <c r="C76" i="47"/>
  <c r="C18" i="47"/>
  <c r="J24" i="32"/>
  <c r="F35" i="47"/>
  <c r="J35" i="31"/>
  <c r="I43" i="31"/>
  <c r="E58" i="47" s="1"/>
  <c r="F96" i="31"/>
  <c r="H168" i="47" s="1"/>
  <c r="C22" i="31"/>
  <c r="C23" i="31" s="1"/>
  <c r="C25" i="31" s="1"/>
  <c r="J33" i="31"/>
  <c r="E14" i="31"/>
  <c r="E76" i="31"/>
  <c r="H76" i="31"/>
  <c r="H19" i="31" s="1"/>
  <c r="H14" i="31"/>
  <c r="E66" i="31"/>
  <c r="H66" i="31"/>
  <c r="H18" i="31" s="1"/>
  <c r="H96" i="31"/>
  <c r="H22" i="31" s="1"/>
  <c r="I90" i="31"/>
  <c r="I96" i="31" s="1"/>
  <c r="E168" i="47" s="1"/>
  <c r="J11" i="31"/>
  <c r="D66" i="31"/>
  <c r="J5" i="31"/>
  <c r="H50" i="31"/>
  <c r="H17" i="31" s="1"/>
  <c r="E50" i="31"/>
  <c r="H43" i="31"/>
  <c r="H16" i="31" s="1"/>
  <c r="E16" i="31"/>
  <c r="F16" i="31" s="1"/>
  <c r="D16" i="31"/>
  <c r="C98" i="26"/>
  <c r="C99" i="26"/>
  <c r="C94" i="26"/>
  <c r="C41" i="28"/>
  <c r="D84" i="29"/>
  <c r="H84" i="29" s="1"/>
  <c r="J84" i="29" s="1"/>
  <c r="C83" i="29"/>
  <c r="J81" i="29"/>
  <c r="C80" i="29"/>
  <c r="C20" i="29" s="1"/>
  <c r="J78" i="29"/>
  <c r="D76" i="29"/>
  <c r="E76" i="29" s="1"/>
  <c r="H74" i="29"/>
  <c r="D74" i="29"/>
  <c r="E74" i="29"/>
  <c r="F74" i="29" s="1"/>
  <c r="H145" i="47" s="1"/>
  <c r="H159" i="47" s="1"/>
  <c r="C73" i="29"/>
  <c r="C74" i="29" s="1"/>
  <c r="C64" i="29"/>
  <c r="C69" i="29"/>
  <c r="C70" i="29" s="1"/>
  <c r="C62" i="29"/>
  <c r="C61" i="29"/>
  <c r="C60" i="29"/>
  <c r="H59" i="29"/>
  <c r="C54" i="29"/>
  <c r="C17" i="29" s="1"/>
  <c r="C53" i="29"/>
  <c r="C50" i="29"/>
  <c r="C49" i="29"/>
  <c r="C48" i="29"/>
  <c r="C46" i="29"/>
  <c r="C41" i="29"/>
  <c r="H41" i="29" s="1"/>
  <c r="C39" i="29"/>
  <c r="H39" i="29" s="1"/>
  <c r="C34" i="29"/>
  <c r="C33" i="29"/>
  <c r="C32" i="29"/>
  <c r="C31" i="29"/>
  <c r="C30" i="29"/>
  <c r="C28" i="29"/>
  <c r="C27" i="29"/>
  <c r="C26" i="29"/>
  <c r="C25" i="29"/>
  <c r="C11" i="29"/>
  <c r="C10" i="29"/>
  <c r="C9" i="29"/>
  <c r="C8" i="29"/>
  <c r="C6" i="29"/>
  <c r="F76" i="29" l="1"/>
  <c r="N76" i="29" s="1"/>
  <c r="F76" i="31"/>
  <c r="H113" i="47" s="1"/>
  <c r="D19" i="29"/>
  <c r="C145" i="47"/>
  <c r="E19" i="29"/>
  <c r="F19" i="29" s="1"/>
  <c r="I145" i="47"/>
  <c r="E19" i="31"/>
  <c r="F19" i="31" s="1"/>
  <c r="I113" i="47"/>
  <c r="E18" i="31"/>
  <c r="F18" i="31" s="1"/>
  <c r="I95" i="47"/>
  <c r="D18" i="31"/>
  <c r="D23" i="31" s="1"/>
  <c r="D25" i="31" s="1"/>
  <c r="C95" i="47"/>
  <c r="E17" i="31"/>
  <c r="F17" i="31" s="1"/>
  <c r="I76" i="47"/>
  <c r="I18" i="47"/>
  <c r="H8" i="29"/>
  <c r="J8" i="29" s="1"/>
  <c r="J46" i="31"/>
  <c r="I50" i="31"/>
  <c r="E76" i="47" s="1"/>
  <c r="E22" i="31"/>
  <c r="F22" i="31" s="1"/>
  <c r="J13" i="41"/>
  <c r="H40" i="29"/>
  <c r="J40" i="29" s="1"/>
  <c r="I14" i="31"/>
  <c r="M33" i="31" s="1"/>
  <c r="H76" i="29"/>
  <c r="H83" i="29"/>
  <c r="J83" i="29" s="1"/>
  <c r="C85" i="29"/>
  <c r="I19" i="29"/>
  <c r="J60" i="29"/>
  <c r="H11" i="29"/>
  <c r="J11" i="29" s="1"/>
  <c r="J41" i="29"/>
  <c r="H31" i="29"/>
  <c r="J31" i="29" s="1"/>
  <c r="C19" i="29"/>
  <c r="H25" i="29"/>
  <c r="J25" i="29" s="1"/>
  <c r="C12" i="29"/>
  <c r="J14" i="31"/>
  <c r="J69" i="31"/>
  <c r="H23" i="31"/>
  <c r="H25" i="31" s="1"/>
  <c r="J90" i="31"/>
  <c r="J96" i="31" s="1"/>
  <c r="I22" i="31"/>
  <c r="J64" i="29"/>
  <c r="H26" i="29"/>
  <c r="J26" i="29" s="1"/>
  <c r="H48" i="29"/>
  <c r="J48" i="29" s="1"/>
  <c r="H30" i="29"/>
  <c r="J30" i="29" s="1"/>
  <c r="C65" i="29"/>
  <c r="H61" i="29"/>
  <c r="J61" i="29" s="1"/>
  <c r="J69" i="29"/>
  <c r="H34" i="29"/>
  <c r="J34" i="29" s="1"/>
  <c r="C55" i="29"/>
  <c r="C16" i="29" s="1"/>
  <c r="H10" i="29"/>
  <c r="J10" i="29" s="1"/>
  <c r="F10" i="29"/>
  <c r="L10" i="29" s="1"/>
  <c r="D12" i="29"/>
  <c r="C13" i="47" s="1"/>
  <c r="H32" i="29"/>
  <c r="J32" i="29" s="1"/>
  <c r="D42" i="29"/>
  <c r="H38" i="29"/>
  <c r="H50" i="29"/>
  <c r="J50" i="29" s="1"/>
  <c r="E70" i="29"/>
  <c r="H82" i="29"/>
  <c r="I82" i="29" s="1"/>
  <c r="E82" i="29"/>
  <c r="F82" i="29" s="1"/>
  <c r="J39" i="29"/>
  <c r="C35" i="29"/>
  <c r="C14" i="29" s="1"/>
  <c r="H33" i="29"/>
  <c r="J33" i="29" s="1"/>
  <c r="H53" i="29"/>
  <c r="J53" i="29" s="1"/>
  <c r="H47" i="29"/>
  <c r="J47" i="29" s="1"/>
  <c r="J79" i="29"/>
  <c r="H9" i="29"/>
  <c r="J9" i="29" s="1"/>
  <c r="J27" i="29"/>
  <c r="J59" i="29"/>
  <c r="H46" i="29"/>
  <c r="J46" i="29" s="1"/>
  <c r="H49" i="29"/>
  <c r="J49" i="29" s="1"/>
  <c r="H62" i="29"/>
  <c r="J62" i="29" s="1"/>
  <c r="D35" i="29"/>
  <c r="J73" i="29"/>
  <c r="C42" i="29"/>
  <c r="C15" i="29" s="1"/>
  <c r="E84" i="29"/>
  <c r="F84" i="29" s="1"/>
  <c r="J82" i="29" l="1"/>
  <c r="I85" i="29"/>
  <c r="N76" i="31"/>
  <c r="I19" i="31"/>
  <c r="E113" i="47"/>
  <c r="J22" i="31"/>
  <c r="F168" i="47"/>
  <c r="E18" i="47"/>
  <c r="F18" i="47"/>
  <c r="E18" i="29"/>
  <c r="F18" i="29" s="1"/>
  <c r="I127" i="47"/>
  <c r="D15" i="29"/>
  <c r="C71" i="47"/>
  <c r="D14" i="29"/>
  <c r="C53" i="47"/>
  <c r="C36" i="47"/>
  <c r="F23" i="31"/>
  <c r="H163" i="47"/>
  <c r="F12" i="29"/>
  <c r="H13" i="47" s="1"/>
  <c r="H27" i="47" s="1"/>
  <c r="J76" i="29"/>
  <c r="E163" i="47"/>
  <c r="E23" i="31"/>
  <c r="J28" i="29"/>
  <c r="J70" i="29"/>
  <c r="D55" i="29"/>
  <c r="J80" i="29"/>
  <c r="D85" i="29"/>
  <c r="J50" i="31"/>
  <c r="I17" i="31"/>
  <c r="J53" i="31"/>
  <c r="I66" i="31"/>
  <c r="J29" i="31"/>
  <c r="I16" i="31"/>
  <c r="I42" i="29"/>
  <c r="J38" i="29"/>
  <c r="J42" i="29" s="1"/>
  <c r="E35" i="29"/>
  <c r="J74" i="29"/>
  <c r="F145" i="47" s="1"/>
  <c r="J19" i="29"/>
  <c r="E55" i="29"/>
  <c r="H54" i="29"/>
  <c r="J54" i="29" s="1"/>
  <c r="H35" i="29"/>
  <c r="H14" i="29" s="1"/>
  <c r="E65" i="29"/>
  <c r="D65" i="29"/>
  <c r="C108" i="47" s="1"/>
  <c r="H45" i="29"/>
  <c r="C21" i="29"/>
  <c r="C23" i="29" s="1"/>
  <c r="H42" i="29"/>
  <c r="H15" i="29" s="1"/>
  <c r="J5" i="29"/>
  <c r="E42" i="29"/>
  <c r="H12" i="29"/>
  <c r="E12" i="29"/>
  <c r="I13" i="47" s="1"/>
  <c r="E95" i="47" l="1"/>
  <c r="J70" i="31"/>
  <c r="J76" i="31" s="1"/>
  <c r="J18" i="29"/>
  <c r="F127" i="47"/>
  <c r="J17" i="31"/>
  <c r="F76" i="47"/>
  <c r="I36" i="47"/>
  <c r="E25" i="31"/>
  <c r="H36" i="47"/>
  <c r="F25" i="31"/>
  <c r="E20" i="29"/>
  <c r="F20" i="29" s="1"/>
  <c r="I163" i="47"/>
  <c r="D20" i="29"/>
  <c r="C163" i="47"/>
  <c r="E17" i="29"/>
  <c r="F17" i="29" s="1"/>
  <c r="I108" i="47"/>
  <c r="E16" i="29"/>
  <c r="F16" i="29" s="1"/>
  <c r="I90" i="47"/>
  <c r="D16" i="29"/>
  <c r="C90" i="47"/>
  <c r="E15" i="29"/>
  <c r="F15" i="29" s="1"/>
  <c r="I71" i="47"/>
  <c r="J15" i="29"/>
  <c r="F71" i="47"/>
  <c r="I15" i="29"/>
  <c r="E71" i="47"/>
  <c r="E14" i="29"/>
  <c r="F14" i="29" s="1"/>
  <c r="I53" i="47"/>
  <c r="J43" i="31"/>
  <c r="J10" i="41"/>
  <c r="H65" i="29"/>
  <c r="H17" i="29" s="1"/>
  <c r="D17" i="29"/>
  <c r="H55" i="29"/>
  <c r="H16" i="29" s="1"/>
  <c r="H85" i="29"/>
  <c r="H20" i="29" s="1"/>
  <c r="J6" i="29"/>
  <c r="J12" i="29" s="1"/>
  <c r="F13" i="47" s="1"/>
  <c r="I18" i="31"/>
  <c r="I23" i="31" s="1"/>
  <c r="J66" i="31"/>
  <c r="J45" i="29"/>
  <c r="E90" i="47"/>
  <c r="I65" i="29"/>
  <c r="J35" i="29"/>
  <c r="I35" i="29"/>
  <c r="J19" i="31" l="1"/>
  <c r="F113" i="47"/>
  <c r="E108" i="47"/>
  <c r="D21" i="29"/>
  <c r="D23" i="29" s="1"/>
  <c r="F21" i="29"/>
  <c r="F23" i="29" s="1"/>
  <c r="E21" i="29"/>
  <c r="E23" i="29" s="1"/>
  <c r="J18" i="31"/>
  <c r="F95" i="47"/>
  <c r="E36" i="47"/>
  <c r="I25" i="31"/>
  <c r="J16" i="31"/>
  <c r="F58" i="47"/>
  <c r="I14" i="29"/>
  <c r="E53" i="47"/>
  <c r="J14" i="29"/>
  <c r="F53" i="47"/>
  <c r="J65" i="29"/>
  <c r="I17" i="29"/>
  <c r="J55" i="29"/>
  <c r="I16" i="29"/>
  <c r="H21" i="29"/>
  <c r="H23" i="29" s="1"/>
  <c r="I12" i="29"/>
  <c r="C31" i="47" l="1"/>
  <c r="H31" i="47"/>
  <c r="I18" i="29"/>
  <c r="E127" i="47"/>
  <c r="E13" i="47"/>
  <c r="L28" i="29"/>
  <c r="J23" i="31"/>
  <c r="J25" i="31" s="1"/>
  <c r="I31" i="47"/>
  <c r="J16" i="29"/>
  <c r="F90" i="47"/>
  <c r="J17" i="29"/>
  <c r="F108" i="47"/>
  <c r="J85" i="29"/>
  <c r="I20" i="29"/>
  <c r="I21" i="29" s="1"/>
  <c r="C63" i="28"/>
  <c r="C20" i="28" s="1"/>
  <c r="D60" i="28"/>
  <c r="E60" i="28" s="1"/>
  <c r="D59" i="28"/>
  <c r="C56" i="28"/>
  <c r="C19" i="28" s="1"/>
  <c r="C55" i="28"/>
  <c r="C43" i="28"/>
  <c r="C42" i="28"/>
  <c r="C45" i="28" s="1"/>
  <c r="C36" i="28"/>
  <c r="C35" i="28"/>
  <c r="C34" i="28"/>
  <c r="C33" i="28"/>
  <c r="C32" i="28"/>
  <c r="C31" i="28"/>
  <c r="C29" i="28"/>
  <c r="C28" i="28"/>
  <c r="C26" i="28"/>
  <c r="C25" i="28"/>
  <c r="C14" i="28"/>
  <c r="C12" i="28"/>
  <c r="C10" i="28"/>
  <c r="C9" i="28"/>
  <c r="C7" i="28"/>
  <c r="C5" i="28"/>
  <c r="F36" i="47" l="1"/>
  <c r="F37" i="28"/>
  <c r="H55" i="47" s="1"/>
  <c r="H67" i="47" s="1"/>
  <c r="J20" i="29"/>
  <c r="J21" i="29" s="1"/>
  <c r="J23" i="29" s="1"/>
  <c r="F163" i="47"/>
  <c r="I23" i="29"/>
  <c r="E31" i="47"/>
  <c r="D63" i="28"/>
  <c r="C15" i="28"/>
  <c r="C37" i="28"/>
  <c r="C17" i="28" s="1"/>
  <c r="F54" i="28"/>
  <c r="C46" i="28"/>
  <c r="C18" i="28" s="1"/>
  <c r="D37" i="28"/>
  <c r="F51" i="28"/>
  <c r="E59" i="28"/>
  <c r="C57" i="28"/>
  <c r="D20" i="28" l="1"/>
  <c r="C165" i="47"/>
  <c r="F31" i="47"/>
  <c r="F50" i="28"/>
  <c r="F57" i="28" s="1"/>
  <c r="H110" i="47" s="1"/>
  <c r="F45" i="28"/>
  <c r="D17" i="28"/>
  <c r="C55" i="47"/>
  <c r="E63" i="28"/>
  <c r="I165" i="47" s="1"/>
  <c r="C21" i="28"/>
  <c r="C23" i="28" s="1"/>
  <c r="D57" i="28"/>
  <c r="E57" i="28"/>
  <c r="D46" i="28"/>
  <c r="D15" i="28"/>
  <c r="E37" i="28"/>
  <c r="F46" i="28" l="1"/>
  <c r="H92" i="47" s="1"/>
  <c r="H104" i="47" s="1"/>
  <c r="N45" i="28"/>
  <c r="E19" i="28"/>
  <c r="I110" i="47"/>
  <c r="D19" i="28"/>
  <c r="C110" i="47"/>
  <c r="D18" i="28"/>
  <c r="D21" i="28" s="1"/>
  <c r="C33" i="47" s="1"/>
  <c r="C92" i="47"/>
  <c r="E17" i="28"/>
  <c r="I55" i="47"/>
  <c r="C15" i="47"/>
  <c r="E46" i="28"/>
  <c r="I92" i="47" s="1"/>
  <c r="E15" i="28"/>
  <c r="D23" i="28" l="1"/>
  <c r="I15" i="47"/>
  <c r="E18" i="28"/>
  <c r="E21" i="28" l="1"/>
  <c r="F21" i="28"/>
  <c r="D76" i="27"/>
  <c r="C75" i="27"/>
  <c r="E74" i="27"/>
  <c r="E72" i="27"/>
  <c r="G72" i="27" s="1"/>
  <c r="D68" i="27"/>
  <c r="D17" i="27" s="1"/>
  <c r="I67" i="27"/>
  <c r="I68" i="27" s="1"/>
  <c r="E144" i="47" s="1"/>
  <c r="E68" i="27"/>
  <c r="C67" i="27"/>
  <c r="C68" i="27" s="1"/>
  <c r="C17" i="27" s="1"/>
  <c r="C63" i="27"/>
  <c r="C62" i="27"/>
  <c r="C61" i="27"/>
  <c r="C59" i="27"/>
  <c r="F59" i="27" s="1"/>
  <c r="C54" i="27"/>
  <c r="C53" i="27"/>
  <c r="C49" i="27"/>
  <c r="C48" i="27"/>
  <c r="C47" i="27"/>
  <c r="C46" i="27"/>
  <c r="C45" i="27"/>
  <c r="C44" i="27"/>
  <c r="C40" i="27"/>
  <c r="C38" i="27"/>
  <c r="C33" i="27"/>
  <c r="C32" i="27"/>
  <c r="C31" i="27"/>
  <c r="C30" i="27"/>
  <c r="C29" i="27"/>
  <c r="C28" i="27"/>
  <c r="F27" i="27"/>
  <c r="C26" i="27"/>
  <c r="C25" i="27"/>
  <c r="C24" i="27"/>
  <c r="C23" i="27"/>
  <c r="C10" i="27"/>
  <c r="C9" i="27"/>
  <c r="C8" i="27"/>
  <c r="C7" i="27"/>
  <c r="C5" i="27"/>
  <c r="G74" i="27" l="1"/>
  <c r="F74" i="27"/>
  <c r="H33" i="47"/>
  <c r="F23" i="28"/>
  <c r="I33" i="47"/>
  <c r="E23" i="28"/>
  <c r="C144" i="47"/>
  <c r="I144" i="47"/>
  <c r="E17" i="27"/>
  <c r="G17" i="27" s="1"/>
  <c r="I17" i="27"/>
  <c r="J17" i="27" s="1"/>
  <c r="C34" i="27"/>
  <c r="C13" i="27" s="1"/>
  <c r="J67" i="27"/>
  <c r="J68" i="27" s="1"/>
  <c r="F144" i="47" s="1"/>
  <c r="G71" i="27"/>
  <c r="C79" i="27"/>
  <c r="C18" i="27" s="1"/>
  <c r="C11" i="27"/>
  <c r="J26" i="27"/>
  <c r="D41" i="27"/>
  <c r="D14" i="27" s="1"/>
  <c r="F48" i="27"/>
  <c r="J48" i="27" s="1"/>
  <c r="J63" i="27"/>
  <c r="J75" i="27"/>
  <c r="J38" i="27"/>
  <c r="F49" i="27"/>
  <c r="J49" i="27" s="1"/>
  <c r="F28" i="27"/>
  <c r="J28" i="27" s="1"/>
  <c r="J39" i="27"/>
  <c r="F53" i="27"/>
  <c r="J53" i="27" s="1"/>
  <c r="F62" i="27"/>
  <c r="F29" i="27"/>
  <c r="J29" i="27" s="1"/>
  <c r="J40" i="27"/>
  <c r="F54" i="27"/>
  <c r="J54" i="27" s="1"/>
  <c r="F30" i="27"/>
  <c r="J30" i="27" s="1"/>
  <c r="F44" i="27"/>
  <c r="D55" i="27"/>
  <c r="D15" i="27" s="1"/>
  <c r="D64" i="27"/>
  <c r="D16" i="27" s="1"/>
  <c r="F31" i="27"/>
  <c r="J31" i="27" s="1"/>
  <c r="F45" i="27"/>
  <c r="J45" i="27" s="1"/>
  <c r="J59" i="27"/>
  <c r="D79" i="27"/>
  <c r="D18" i="27" s="1"/>
  <c r="F24" i="27"/>
  <c r="J24" i="27" s="1"/>
  <c r="F32" i="27"/>
  <c r="J32" i="27" s="1"/>
  <c r="F46" i="27"/>
  <c r="J46" i="27" s="1"/>
  <c r="J60" i="27"/>
  <c r="F25" i="27"/>
  <c r="J25" i="27" s="1"/>
  <c r="F33" i="27"/>
  <c r="J33" i="27" s="1"/>
  <c r="F47" i="27"/>
  <c r="J47" i="27" s="1"/>
  <c r="F61" i="27"/>
  <c r="C41" i="27"/>
  <c r="C14" i="27" s="1"/>
  <c r="C55" i="27"/>
  <c r="C15" i="27" s="1"/>
  <c r="C64" i="27"/>
  <c r="C16" i="27" s="1"/>
  <c r="J72" i="27"/>
  <c r="E76" i="27"/>
  <c r="J73" i="27"/>
  <c r="J76" i="27"/>
  <c r="G76" i="27" l="1"/>
  <c r="G79" i="27" s="1"/>
  <c r="H162" i="47" s="1"/>
  <c r="F76" i="27"/>
  <c r="F79" i="27" s="1"/>
  <c r="J61" i="27"/>
  <c r="L61" i="27"/>
  <c r="J62" i="27"/>
  <c r="L62" i="27"/>
  <c r="C162" i="47"/>
  <c r="C107" i="47"/>
  <c r="F15" i="27"/>
  <c r="C89" i="47"/>
  <c r="C70" i="47"/>
  <c r="J74" i="27"/>
  <c r="J27" i="27"/>
  <c r="C19" i="27"/>
  <c r="C21" i="27" s="1"/>
  <c r="E79" i="27"/>
  <c r="F11" i="27"/>
  <c r="E11" i="27"/>
  <c r="I55" i="27"/>
  <c r="J44" i="27"/>
  <c r="J55" i="27" s="1"/>
  <c r="F89" i="47" s="1"/>
  <c r="F55" i="27"/>
  <c r="D34" i="27"/>
  <c r="D13" i="27" s="1"/>
  <c r="F23" i="27"/>
  <c r="F34" i="27" s="1"/>
  <c r="F13" i="27" s="1"/>
  <c r="E34" i="27"/>
  <c r="F64" i="27"/>
  <c r="F16" i="27" s="1"/>
  <c r="F41" i="27"/>
  <c r="F14" i="27" s="1"/>
  <c r="E41" i="27"/>
  <c r="E55" i="27"/>
  <c r="E64" i="27"/>
  <c r="I12" i="47" l="1"/>
  <c r="C12" i="47"/>
  <c r="E16" i="27"/>
  <c r="G16" i="27" s="1"/>
  <c r="I107" i="47"/>
  <c r="E15" i="27"/>
  <c r="G15" i="27" s="1"/>
  <c r="I89" i="47"/>
  <c r="I15" i="27"/>
  <c r="J15" i="27" s="1"/>
  <c r="E89" i="47"/>
  <c r="E18" i="27"/>
  <c r="G18" i="27" s="1"/>
  <c r="I162" i="47"/>
  <c r="E14" i="27"/>
  <c r="G14" i="27" s="1"/>
  <c r="I70" i="47"/>
  <c r="E13" i="27"/>
  <c r="G13" i="27" s="1"/>
  <c r="I52" i="47"/>
  <c r="D19" i="27"/>
  <c r="D21" i="27" s="1"/>
  <c r="C52" i="47"/>
  <c r="I64" i="27"/>
  <c r="J58" i="27"/>
  <c r="J64" i="27" s="1"/>
  <c r="F107" i="47" s="1"/>
  <c r="J37" i="27"/>
  <c r="J41" i="27" s="1"/>
  <c r="F70" i="47" s="1"/>
  <c r="I41" i="27"/>
  <c r="F19" i="27"/>
  <c r="F21" i="27" s="1"/>
  <c r="J71" i="27" l="1"/>
  <c r="J79" i="27" s="1"/>
  <c r="J18" i="27" s="1"/>
  <c r="I79" i="27"/>
  <c r="C30" i="47"/>
  <c r="G19" i="27"/>
  <c r="G21" i="27" s="1"/>
  <c r="I16" i="27"/>
  <c r="E107" i="47"/>
  <c r="I14" i="27"/>
  <c r="J14" i="27" s="1"/>
  <c r="E70" i="47"/>
  <c r="E19" i="27"/>
  <c r="E21" i="27" s="1"/>
  <c r="J15" i="41"/>
  <c r="J23" i="27"/>
  <c r="J34" i="27" s="1"/>
  <c r="F52" i="47" s="1"/>
  <c r="I34" i="27"/>
  <c r="J11" i="27"/>
  <c r="I11" i="27"/>
  <c r="L27" i="27" s="1"/>
  <c r="F162" i="47" l="1"/>
  <c r="I18" i="27"/>
  <c r="E162" i="47"/>
  <c r="H30" i="47"/>
  <c r="J16" i="27"/>
  <c r="E12" i="47"/>
  <c r="F12" i="47"/>
  <c r="I30" i="47"/>
  <c r="I13" i="27"/>
  <c r="E52" i="47"/>
  <c r="C85" i="26"/>
  <c r="C100" i="26" s="1"/>
  <c r="C26" i="26" s="1"/>
  <c r="C90" i="26"/>
  <c r="C25" i="26" s="1"/>
  <c r="C74" i="26"/>
  <c r="C80" i="26"/>
  <c r="C84" i="26"/>
  <c r="C78" i="26"/>
  <c r="C77" i="26"/>
  <c r="C70" i="26"/>
  <c r="C69" i="26"/>
  <c r="C65" i="26"/>
  <c r="C64" i="26"/>
  <c r="C61" i="26"/>
  <c r="C60" i="26"/>
  <c r="C59" i="26"/>
  <c r="C58" i="26"/>
  <c r="C57" i="26"/>
  <c r="C56" i="26"/>
  <c r="C52" i="26"/>
  <c r="C50" i="26"/>
  <c r="C45" i="26"/>
  <c r="C43" i="26"/>
  <c r="C42" i="26"/>
  <c r="C40" i="26"/>
  <c r="C39" i="26"/>
  <c r="C37" i="26"/>
  <c r="I19" i="27" l="1"/>
  <c r="I21" i="27" s="1"/>
  <c r="C86" i="26"/>
  <c r="C24" i="26" s="1"/>
  <c r="J13" i="27"/>
  <c r="J19" i="27" s="1"/>
  <c r="J21" i="27" s="1"/>
  <c r="C71" i="26"/>
  <c r="C22" i="26" s="1"/>
  <c r="C81" i="26"/>
  <c r="C23" i="26" s="1"/>
  <c r="C53" i="26"/>
  <c r="C21" i="26" s="1"/>
  <c r="C35" i="26"/>
  <c r="H35" i="26" s="1"/>
  <c r="J35" i="26" s="1"/>
  <c r="C34" i="26"/>
  <c r="C33" i="26"/>
  <c r="C32" i="26"/>
  <c r="C31" i="26"/>
  <c r="D92" i="26"/>
  <c r="D86" i="26"/>
  <c r="H78" i="26"/>
  <c r="J70" i="26"/>
  <c r="H65" i="26"/>
  <c r="J65" i="26" s="1"/>
  <c r="H58" i="26"/>
  <c r="J58" i="26" s="1"/>
  <c r="J57" i="26"/>
  <c r="H52" i="26"/>
  <c r="H49" i="26"/>
  <c r="H45" i="26"/>
  <c r="J45" i="26" s="1"/>
  <c r="J44" i="26"/>
  <c r="J43" i="26"/>
  <c r="J38" i="26"/>
  <c r="H37" i="26"/>
  <c r="J37" i="26" s="1"/>
  <c r="C15" i="26"/>
  <c r="C12" i="26"/>
  <c r="C17" i="26"/>
  <c r="J17" i="26" s="1"/>
  <c r="C14" i="26"/>
  <c r="J14" i="26" s="1"/>
  <c r="C11" i="26"/>
  <c r="C6" i="26"/>
  <c r="E30" i="47" l="1"/>
  <c r="F30" i="47"/>
  <c r="F100" i="26"/>
  <c r="H166" i="47" s="1"/>
  <c r="H177" i="47" s="1"/>
  <c r="D24" i="26"/>
  <c r="C130" i="47"/>
  <c r="C141" i="47" s="1"/>
  <c r="H51" i="26"/>
  <c r="J13" i="26"/>
  <c r="D100" i="26"/>
  <c r="H92" i="26"/>
  <c r="E90" i="26"/>
  <c r="D90" i="26"/>
  <c r="D81" i="26"/>
  <c r="C111" i="47" s="1"/>
  <c r="C122" i="47" s="1"/>
  <c r="D71" i="26"/>
  <c r="J75" i="26"/>
  <c r="H59" i="26"/>
  <c r="C46" i="26"/>
  <c r="C20" i="26" s="1"/>
  <c r="C27" i="26" s="1"/>
  <c r="H95" i="26"/>
  <c r="J95" i="26" s="1"/>
  <c r="J52" i="26"/>
  <c r="H61" i="26"/>
  <c r="J61" i="26" s="1"/>
  <c r="H99" i="26"/>
  <c r="I99" i="26" s="1"/>
  <c r="J99" i="26" s="1"/>
  <c r="D53" i="26"/>
  <c r="J80" i="26"/>
  <c r="F190" i="47" s="1"/>
  <c r="H69" i="26"/>
  <c r="J69" i="26" s="1"/>
  <c r="H40" i="26"/>
  <c r="J40" i="26" s="1"/>
  <c r="H36" i="26"/>
  <c r="H33" i="26"/>
  <c r="J33" i="26" s="1"/>
  <c r="D46" i="26"/>
  <c r="J78" i="26"/>
  <c r="H32" i="26"/>
  <c r="J32" i="26" s="1"/>
  <c r="H41" i="26"/>
  <c r="J41" i="26" s="1"/>
  <c r="J96" i="26"/>
  <c r="J51" i="26"/>
  <c r="J98" i="26"/>
  <c r="J77" i="26"/>
  <c r="E92" i="26"/>
  <c r="H34" i="26"/>
  <c r="J34" i="26" s="1"/>
  <c r="H42" i="26"/>
  <c r="J42" i="26" s="1"/>
  <c r="J64" i="26"/>
  <c r="J76" i="26"/>
  <c r="J85" i="26"/>
  <c r="H39" i="26"/>
  <c r="J39" i="26" s="1"/>
  <c r="J50" i="26"/>
  <c r="H60" i="26"/>
  <c r="J60" i="26" s="1"/>
  <c r="J97" i="26"/>
  <c r="J16" i="26"/>
  <c r="C18" i="26"/>
  <c r="J15" i="26"/>
  <c r="J12" i="26"/>
  <c r="D25" i="26" l="1"/>
  <c r="C148" i="47"/>
  <c r="C159" i="47" s="1"/>
  <c r="E25" i="26"/>
  <c r="F25" i="26" s="1"/>
  <c r="I148" i="47"/>
  <c r="I159" i="47" s="1"/>
  <c r="D26" i="26"/>
  <c r="C166" i="47"/>
  <c r="C177" i="47" s="1"/>
  <c r="D22" i="26"/>
  <c r="C93" i="47"/>
  <c r="C104" i="47" s="1"/>
  <c r="D21" i="26"/>
  <c r="C74" i="47"/>
  <c r="C85" i="47" s="1"/>
  <c r="D20" i="26"/>
  <c r="C56" i="47"/>
  <c r="C67" i="47" s="1"/>
  <c r="J36" i="26"/>
  <c r="E86" i="26"/>
  <c r="H86" i="26"/>
  <c r="H24" i="26" s="1"/>
  <c r="E100" i="26"/>
  <c r="H100" i="26"/>
  <c r="H26" i="26" s="1"/>
  <c r="H81" i="26"/>
  <c r="H23" i="26" s="1"/>
  <c r="D23" i="26"/>
  <c r="I92" i="26"/>
  <c r="J92" i="26" s="1"/>
  <c r="I89" i="26"/>
  <c r="H90" i="26"/>
  <c r="H25" i="26" s="1"/>
  <c r="J74" i="26"/>
  <c r="I81" i="26"/>
  <c r="E111" i="47" s="1"/>
  <c r="E122" i="47" s="1"/>
  <c r="H71" i="26"/>
  <c r="H22" i="26" s="1"/>
  <c r="J56" i="26"/>
  <c r="E71" i="26"/>
  <c r="E81" i="26"/>
  <c r="H111" i="47" s="1"/>
  <c r="H122" i="47" s="1"/>
  <c r="H185" i="47" s="1"/>
  <c r="H187" i="47" s="1"/>
  <c r="H192" i="47" s="1"/>
  <c r="J59" i="26"/>
  <c r="H53" i="26"/>
  <c r="H21" i="26" s="1"/>
  <c r="E53" i="26"/>
  <c r="E46" i="26"/>
  <c r="H46" i="26"/>
  <c r="H20" i="26" s="1"/>
  <c r="E93" i="47"/>
  <c r="E104" i="47" s="1"/>
  <c r="C29" i="26"/>
  <c r="H11" i="26"/>
  <c r="J11" i="26" s="1"/>
  <c r="D27" i="26" l="1"/>
  <c r="D29" i="26" s="1"/>
  <c r="C185" i="47"/>
  <c r="E26" i="26"/>
  <c r="F26" i="26" s="1"/>
  <c r="I166" i="47"/>
  <c r="I177" i="47" s="1"/>
  <c r="E24" i="26"/>
  <c r="F24" i="26" s="1"/>
  <c r="I130" i="47"/>
  <c r="I141" i="47" s="1"/>
  <c r="E23" i="26"/>
  <c r="F23" i="26" s="1"/>
  <c r="I111" i="47"/>
  <c r="I122" i="47" s="1"/>
  <c r="E22" i="26"/>
  <c r="F22" i="26" s="1"/>
  <c r="I93" i="47"/>
  <c r="I104" i="47" s="1"/>
  <c r="E21" i="26"/>
  <c r="F21" i="26" s="1"/>
  <c r="I74" i="47"/>
  <c r="I85" i="47" s="1"/>
  <c r="E20" i="26"/>
  <c r="F20" i="26" s="1"/>
  <c r="I56" i="47"/>
  <c r="I67" i="47" s="1"/>
  <c r="H18" i="26"/>
  <c r="E26" i="41"/>
  <c r="D26" i="41"/>
  <c r="D35" i="41" s="1"/>
  <c r="J84" i="26"/>
  <c r="J86" i="26" s="1"/>
  <c r="I86" i="26"/>
  <c r="J94" i="26"/>
  <c r="I100" i="26"/>
  <c r="J81" i="26"/>
  <c r="I23" i="26"/>
  <c r="J89" i="26"/>
  <c r="J90" i="26" s="1"/>
  <c r="I90" i="26"/>
  <c r="I22" i="26"/>
  <c r="J71" i="26"/>
  <c r="H27" i="26"/>
  <c r="J49" i="26"/>
  <c r="J53" i="26" s="1"/>
  <c r="I53" i="26"/>
  <c r="J31" i="26"/>
  <c r="J46" i="26" s="1"/>
  <c r="J6" i="26"/>
  <c r="J18" i="26" s="1"/>
  <c r="F16" i="47" s="1"/>
  <c r="I18" i="26"/>
  <c r="F27" i="26" l="1"/>
  <c r="F29" i="26" s="1"/>
  <c r="C34" i="47"/>
  <c r="C45" i="47" s="1"/>
  <c r="H29" i="26"/>
  <c r="J24" i="26"/>
  <c r="F130" i="47"/>
  <c r="F141" i="47" s="1"/>
  <c r="I24" i="26"/>
  <c r="E130" i="47"/>
  <c r="E141" i="47" s="1"/>
  <c r="E27" i="26"/>
  <c r="E29" i="26" s="1"/>
  <c r="I21" i="26"/>
  <c r="E74" i="47"/>
  <c r="E85" i="47" s="1"/>
  <c r="E16" i="47"/>
  <c r="L36" i="26"/>
  <c r="I185" i="47"/>
  <c r="J21" i="26"/>
  <c r="F74" i="47"/>
  <c r="F85" i="47" s="1"/>
  <c r="I25" i="26"/>
  <c r="E148" i="47"/>
  <c r="E159" i="47" s="1"/>
  <c r="J25" i="26"/>
  <c r="F148" i="47"/>
  <c r="F159" i="47" s="1"/>
  <c r="J23" i="26"/>
  <c r="F111" i="47"/>
  <c r="F122" i="47" s="1"/>
  <c r="I26" i="26"/>
  <c r="E166" i="47"/>
  <c r="E177" i="47" s="1"/>
  <c r="J22" i="26"/>
  <c r="F93" i="47"/>
  <c r="F104" i="47" s="1"/>
  <c r="I20" i="26"/>
  <c r="E56" i="47"/>
  <c r="E67" i="47" s="1"/>
  <c r="J20" i="26"/>
  <c r="F56" i="47"/>
  <c r="F67" i="47" s="1"/>
  <c r="E35" i="41"/>
  <c r="I25" i="47"/>
  <c r="I27" i="47" s="1"/>
  <c r="C25" i="47"/>
  <c r="C27" i="47" s="1"/>
  <c r="C187" i="47" s="1"/>
  <c r="J11" i="41"/>
  <c r="J26" i="41" s="1"/>
  <c r="J35" i="41" s="1"/>
  <c r="I26" i="41"/>
  <c r="I35" i="41" s="1"/>
  <c r="J100" i="26"/>
  <c r="I34" i="47" l="1"/>
  <c r="I45" i="47" s="1"/>
  <c r="I46" i="47" s="1"/>
  <c r="H34" i="47"/>
  <c r="H45" i="47" s="1"/>
  <c r="H46" i="47" s="1"/>
  <c r="I27" i="26"/>
  <c r="I29" i="26" s="1"/>
  <c r="E185" i="47"/>
  <c r="J26" i="26"/>
  <c r="J27" i="26" s="1"/>
  <c r="J29" i="26" s="1"/>
  <c r="F166" i="47"/>
  <c r="F177" i="47" s="1"/>
  <c r="F185" i="47" s="1"/>
  <c r="I187" i="47"/>
  <c r="I192" i="47" s="1"/>
  <c r="E25" i="47"/>
  <c r="E27" i="47" s="1"/>
  <c r="F25" i="47"/>
  <c r="F27" i="47" s="1"/>
  <c r="C46" i="47"/>
  <c r="C192" i="47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99" i="24"/>
  <c r="E100" i="24"/>
  <c r="E101" i="24"/>
  <c r="E102" i="24"/>
  <c r="E103" i="24"/>
  <c r="E38" i="24"/>
  <c r="E34" i="47" l="1"/>
  <c r="E45" i="47" s="1"/>
  <c r="E46" i="47" s="1"/>
  <c r="F34" i="47"/>
  <c r="F45" i="47" s="1"/>
  <c r="F46" i="47" s="1"/>
  <c r="F187" i="47"/>
  <c r="F192" i="47" s="1"/>
  <c r="E187" i="47"/>
  <c r="E192" i="47" s="1"/>
  <c r="C89" i="24"/>
  <c r="C74" i="24"/>
  <c r="C54" i="24"/>
  <c r="D54" i="24" s="1"/>
  <c r="C40" i="24"/>
  <c r="D40" i="24" s="1"/>
  <c r="E3" i="24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X4" i="24"/>
  <c r="X12" i="24"/>
  <c r="X20" i="24"/>
  <c r="X28" i="24"/>
  <c r="X36" i="24"/>
  <c r="X38" i="24"/>
  <c r="X41" i="24"/>
  <c r="X42" i="24"/>
  <c r="X44" i="24"/>
  <c r="X45" i="24"/>
  <c r="X46" i="24"/>
  <c r="X49" i="24"/>
  <c r="X50" i="24"/>
  <c r="X52" i="24"/>
  <c r="X53" i="24"/>
  <c r="X54" i="24"/>
  <c r="X57" i="24"/>
  <c r="X58" i="24"/>
  <c r="X60" i="24"/>
  <c r="X61" i="24"/>
  <c r="X62" i="24"/>
  <c r="X65" i="24"/>
  <c r="X66" i="24"/>
  <c r="X67" i="24"/>
  <c r="X68" i="24"/>
  <c r="X69" i="24"/>
  <c r="X70" i="24"/>
  <c r="X71" i="24"/>
  <c r="X72" i="24"/>
  <c r="X73" i="24"/>
  <c r="X74" i="24"/>
  <c r="X75" i="24"/>
  <c r="X76" i="24"/>
  <c r="X77" i="24"/>
  <c r="X78" i="24"/>
  <c r="X79" i="24"/>
  <c r="X80" i="24"/>
  <c r="X81" i="24"/>
  <c r="X82" i="24"/>
  <c r="X83" i="24"/>
  <c r="X84" i="24"/>
  <c r="X85" i="24"/>
  <c r="X86" i="24"/>
  <c r="X87" i="24"/>
  <c r="X88" i="24"/>
  <c r="X89" i="24"/>
  <c r="X90" i="24"/>
  <c r="X91" i="24"/>
  <c r="X92" i="24"/>
  <c r="X93" i="24"/>
  <c r="X94" i="24"/>
  <c r="X95" i="24"/>
  <c r="X96" i="24"/>
  <c r="X97" i="24"/>
  <c r="X98" i="24"/>
  <c r="X99" i="24"/>
  <c r="X100" i="24"/>
  <c r="X101" i="24"/>
  <c r="X102" i="24"/>
  <c r="X103" i="24"/>
  <c r="W4" i="24"/>
  <c r="W7" i="24"/>
  <c r="X7" i="24" s="1"/>
  <c r="W8" i="24"/>
  <c r="X8" i="24" s="1"/>
  <c r="W12" i="24"/>
  <c r="W15" i="24"/>
  <c r="X15" i="24" s="1"/>
  <c r="W16" i="24"/>
  <c r="X16" i="24" s="1"/>
  <c r="W20" i="24"/>
  <c r="W23" i="24"/>
  <c r="X23" i="24" s="1"/>
  <c r="W24" i="24"/>
  <c r="X24" i="24" s="1"/>
  <c r="W28" i="24"/>
  <c r="W31" i="24"/>
  <c r="X31" i="24" s="1"/>
  <c r="W32" i="24"/>
  <c r="X32" i="24" s="1"/>
  <c r="W36" i="24"/>
  <c r="W38" i="24"/>
  <c r="W39" i="24"/>
  <c r="X39" i="24" s="1"/>
  <c r="W40" i="24"/>
  <c r="X40" i="24" s="1"/>
  <c r="W41" i="24"/>
  <c r="W42" i="24"/>
  <c r="W43" i="24"/>
  <c r="X43" i="24" s="1"/>
  <c r="W44" i="24"/>
  <c r="W45" i="24"/>
  <c r="W46" i="24"/>
  <c r="W47" i="24"/>
  <c r="X47" i="24" s="1"/>
  <c r="W48" i="24"/>
  <c r="X48" i="24" s="1"/>
  <c r="W49" i="24"/>
  <c r="W50" i="24"/>
  <c r="W51" i="24"/>
  <c r="X51" i="24" s="1"/>
  <c r="W52" i="24"/>
  <c r="W53" i="24"/>
  <c r="W54" i="24"/>
  <c r="W55" i="24"/>
  <c r="X55" i="24" s="1"/>
  <c r="W56" i="24"/>
  <c r="X56" i="24" s="1"/>
  <c r="W57" i="24"/>
  <c r="W58" i="24"/>
  <c r="W59" i="24"/>
  <c r="X59" i="24" s="1"/>
  <c r="W60" i="24"/>
  <c r="W61" i="24"/>
  <c r="W62" i="24"/>
  <c r="W63" i="24"/>
  <c r="X63" i="24" s="1"/>
  <c r="W64" i="24"/>
  <c r="X64" i="24" s="1"/>
  <c r="W65" i="24"/>
  <c r="W66" i="24"/>
  <c r="W67" i="24"/>
  <c r="W68" i="24"/>
  <c r="W69" i="24"/>
  <c r="W70" i="24"/>
  <c r="W71" i="24"/>
  <c r="W72" i="24"/>
  <c r="W73" i="24"/>
  <c r="W74" i="24"/>
  <c r="W75" i="24"/>
  <c r="W76" i="24"/>
  <c r="W77" i="24"/>
  <c r="W78" i="24"/>
  <c r="W79" i="24"/>
  <c r="W80" i="24"/>
  <c r="W81" i="24"/>
  <c r="W82" i="24"/>
  <c r="W83" i="24"/>
  <c r="W84" i="24"/>
  <c r="W85" i="24"/>
  <c r="W86" i="24"/>
  <c r="W87" i="24"/>
  <c r="W88" i="24"/>
  <c r="W89" i="24"/>
  <c r="W90" i="24"/>
  <c r="W91" i="24"/>
  <c r="W92" i="24"/>
  <c r="W93" i="24"/>
  <c r="W94" i="24"/>
  <c r="W95" i="24"/>
  <c r="W96" i="24"/>
  <c r="W97" i="24"/>
  <c r="W98" i="24"/>
  <c r="W99" i="24"/>
  <c r="W100" i="24"/>
  <c r="W101" i="24"/>
  <c r="W102" i="24"/>
  <c r="W103" i="24"/>
  <c r="V3" i="24"/>
  <c r="W3" i="24" s="1"/>
  <c r="X3" i="24" s="1"/>
  <c r="V4" i="24"/>
  <c r="V5" i="24"/>
  <c r="W5" i="24" s="1"/>
  <c r="X5" i="24" s="1"/>
  <c r="V6" i="24"/>
  <c r="W6" i="24" s="1"/>
  <c r="X6" i="24" s="1"/>
  <c r="V7" i="24"/>
  <c r="V8" i="24"/>
  <c r="V9" i="24"/>
  <c r="W9" i="24" s="1"/>
  <c r="X9" i="24" s="1"/>
  <c r="V10" i="24"/>
  <c r="W10" i="24" s="1"/>
  <c r="X10" i="24" s="1"/>
  <c r="V11" i="24"/>
  <c r="W11" i="24" s="1"/>
  <c r="X11" i="24" s="1"/>
  <c r="V12" i="24"/>
  <c r="V13" i="24"/>
  <c r="W13" i="24" s="1"/>
  <c r="X13" i="24" s="1"/>
  <c r="V14" i="24"/>
  <c r="W14" i="24" s="1"/>
  <c r="X14" i="24" s="1"/>
  <c r="V15" i="24"/>
  <c r="V16" i="24"/>
  <c r="V17" i="24"/>
  <c r="W17" i="24" s="1"/>
  <c r="X17" i="24" s="1"/>
  <c r="V18" i="24"/>
  <c r="W18" i="24" s="1"/>
  <c r="X18" i="24" s="1"/>
  <c r="V19" i="24"/>
  <c r="W19" i="24" s="1"/>
  <c r="X19" i="24" s="1"/>
  <c r="V20" i="24"/>
  <c r="V21" i="24"/>
  <c r="W21" i="24" s="1"/>
  <c r="X21" i="24" s="1"/>
  <c r="V22" i="24"/>
  <c r="W22" i="24" s="1"/>
  <c r="X22" i="24" s="1"/>
  <c r="V23" i="24"/>
  <c r="V24" i="24"/>
  <c r="V25" i="24"/>
  <c r="W25" i="24" s="1"/>
  <c r="X25" i="24" s="1"/>
  <c r="V26" i="24"/>
  <c r="W26" i="24" s="1"/>
  <c r="X26" i="24" s="1"/>
  <c r="V27" i="24"/>
  <c r="W27" i="24" s="1"/>
  <c r="X27" i="24" s="1"/>
  <c r="V28" i="24"/>
  <c r="V29" i="24"/>
  <c r="W29" i="24" s="1"/>
  <c r="X29" i="24" s="1"/>
  <c r="V30" i="24"/>
  <c r="W30" i="24" s="1"/>
  <c r="X30" i="24" s="1"/>
  <c r="V31" i="24"/>
  <c r="V32" i="24"/>
  <c r="V33" i="24"/>
  <c r="W33" i="24" s="1"/>
  <c r="X33" i="24" s="1"/>
  <c r="V34" i="24"/>
  <c r="W34" i="24" s="1"/>
  <c r="X34" i="24" s="1"/>
  <c r="V35" i="24"/>
  <c r="W35" i="24" s="1"/>
  <c r="X35" i="24" s="1"/>
  <c r="V36" i="24"/>
  <c r="V37" i="24"/>
  <c r="W37" i="24" s="1"/>
  <c r="X37" i="24" s="1"/>
  <c r="V38" i="24"/>
  <c r="V39" i="24"/>
  <c r="V40" i="24"/>
  <c r="V41" i="24"/>
  <c r="V42" i="24"/>
  <c r="V43" i="24"/>
  <c r="V44" i="24"/>
  <c r="V45" i="24"/>
  <c r="V46" i="24"/>
  <c r="V47" i="24"/>
  <c r="V48" i="24"/>
  <c r="V49" i="24"/>
  <c r="V50" i="24"/>
  <c r="V51" i="24"/>
  <c r="V52" i="24"/>
  <c r="V53" i="24"/>
  <c r="V54" i="24"/>
  <c r="V55" i="24"/>
  <c r="V56" i="24"/>
  <c r="V57" i="24"/>
  <c r="V58" i="24"/>
  <c r="V59" i="24"/>
  <c r="V60" i="24"/>
  <c r="V61" i="24"/>
  <c r="V62" i="24"/>
  <c r="V63" i="24"/>
  <c r="V64" i="24"/>
  <c r="V65" i="24"/>
  <c r="V66" i="24"/>
  <c r="V67" i="24"/>
  <c r="V68" i="24"/>
  <c r="V69" i="24"/>
  <c r="V70" i="24"/>
  <c r="V71" i="24"/>
  <c r="V72" i="24"/>
  <c r="V73" i="24"/>
  <c r="V74" i="24"/>
  <c r="V75" i="24"/>
  <c r="V76" i="24"/>
  <c r="V77" i="24"/>
  <c r="V78" i="24"/>
  <c r="V79" i="24"/>
  <c r="V80" i="24"/>
  <c r="V81" i="24"/>
  <c r="V82" i="24"/>
  <c r="V83" i="24"/>
  <c r="V84" i="24"/>
  <c r="V85" i="24"/>
  <c r="V86" i="24"/>
  <c r="V87" i="24"/>
  <c r="V88" i="24"/>
  <c r="V89" i="24"/>
  <c r="V90" i="24"/>
  <c r="V91" i="24"/>
  <c r="V92" i="24"/>
  <c r="V93" i="24"/>
  <c r="V94" i="24"/>
  <c r="V95" i="24"/>
  <c r="V96" i="24"/>
  <c r="V97" i="24"/>
  <c r="V98" i="24"/>
  <c r="V99" i="24"/>
  <c r="V100" i="24"/>
  <c r="V101" i="24"/>
  <c r="V102" i="24"/>
  <c r="V103" i="24"/>
  <c r="V2" i="24"/>
  <c r="W2" i="24" s="1"/>
  <c r="E2" i="24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C3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C103" i="24"/>
  <c r="D2" i="24"/>
  <c r="C2" i="24"/>
  <c r="X2" i="24"/>
</calcChain>
</file>

<file path=xl/sharedStrings.xml><?xml version="1.0" encoding="utf-8"?>
<sst xmlns="http://schemas.openxmlformats.org/spreadsheetml/2006/main" count="2845" uniqueCount="668">
  <si>
    <t>G/L Account Code</t>
  </si>
  <si>
    <t>Account Description</t>
  </si>
  <si>
    <t>Type</t>
  </si>
  <si>
    <t>Dept</t>
  </si>
  <si>
    <t>Begin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</si>
  <si>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</si>
  <si>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</si>
  <si>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</si>
  <si>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</si>
  <si>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</si>
  <si>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</si>
  <si>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</si>
  <si>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</si>
  <si>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</si>
  <si>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</si>
  <si>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</si>
  <si>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</si>
  <si>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End</t>
  </si>
  <si>
    <t>Ending Post Period</t>
  </si>
  <si>
    <t>Title</t>
  </si>
  <si>
    <t>Allowance for Bad Debts</t>
  </si>
  <si>
    <t>A/R Tenants</t>
  </si>
  <si>
    <t>A/R Other</t>
  </si>
  <si>
    <t>Tenant &amp; Pet Security Deposit</t>
  </si>
  <si>
    <t>Cash Repl Reserves</t>
  </si>
  <si>
    <t>Building Improvements</t>
  </si>
  <si>
    <t>Furnishings</t>
  </si>
  <si>
    <t>A/P General Fund</t>
  </si>
  <si>
    <t>A/P Trade</t>
  </si>
  <si>
    <t>A/P Management Fee</t>
  </si>
  <si>
    <t>Tenant Security Deposits</t>
  </si>
  <si>
    <t>Accumulated Depreciation</t>
  </si>
  <si>
    <t>Profit or Loss Account</t>
  </si>
  <si>
    <t>Rental Income</t>
  </si>
  <si>
    <t>Vacancies</t>
  </si>
  <si>
    <t>Interest Income</t>
  </si>
  <si>
    <t>Laundry Income</t>
  </si>
  <si>
    <t>NSF &amp; Late Charges</t>
  </si>
  <si>
    <t>Advertising</t>
  </si>
  <si>
    <t>Office Salaries</t>
  </si>
  <si>
    <t>Office Supplies</t>
  </si>
  <si>
    <t>Postage</t>
  </si>
  <si>
    <t>Payroll Taxes</t>
  </si>
  <si>
    <t>Audit Expenses</t>
  </si>
  <si>
    <t>Telephone</t>
  </si>
  <si>
    <t>Computer Expense</t>
  </si>
  <si>
    <t>Travel &amp; Training</t>
  </si>
  <si>
    <t>Water</t>
  </si>
  <si>
    <t>Gas</t>
  </si>
  <si>
    <t>Sewer</t>
  </si>
  <si>
    <t>Cleaning Supplies</t>
  </si>
  <si>
    <t>Cleaning Contract</t>
  </si>
  <si>
    <t>Pest Control</t>
  </si>
  <si>
    <t>Trash Removal</t>
  </si>
  <si>
    <t>Grounds</t>
  </si>
  <si>
    <t>Repair Contract</t>
  </si>
  <si>
    <t>Repair Payroll</t>
  </si>
  <si>
    <t>Snow Removal</t>
  </si>
  <si>
    <t>Extraordinary Maint</t>
  </si>
  <si>
    <t>Employee Benefits</t>
  </si>
  <si>
    <t>Collection Loss</t>
  </si>
  <si>
    <t>Bad Debt Loss</t>
  </si>
  <si>
    <t>Depreciation Expense</t>
  </si>
  <si>
    <t>Replacement Reserves</t>
  </si>
  <si>
    <t>Furniture</t>
  </si>
  <si>
    <t>Misc Fixed Assets</t>
  </si>
  <si>
    <t>Asset</t>
  </si>
  <si>
    <t>Liability</t>
  </si>
  <si>
    <t>Income</t>
  </si>
  <si>
    <t>Expense</t>
  </si>
  <si>
    <t>Loss on Disposal Fixed Asset</t>
  </si>
  <si>
    <t/>
  </si>
  <si>
    <t>Real Estate/Tenant Services</t>
  </si>
  <si>
    <t>2014</t>
  </si>
  <si>
    <t>2012</t>
  </si>
  <si>
    <t>2013</t>
  </si>
  <si>
    <t>Remaining months</t>
  </si>
  <si>
    <t>SUMMARY</t>
  </si>
  <si>
    <t>Count</t>
  </si>
  <si>
    <t>Sum</t>
  </si>
  <si>
    <t>Mgmt Fee</t>
  </si>
  <si>
    <t>Total Operating Receipts</t>
  </si>
  <si>
    <t>Administrative</t>
  </si>
  <si>
    <t>General</t>
  </si>
  <si>
    <t>Reserves</t>
  </si>
  <si>
    <t>Capital Items</t>
  </si>
  <si>
    <t>Total Operating Expense</t>
  </si>
  <si>
    <t>Net Income</t>
  </si>
  <si>
    <t>Total Administrative</t>
  </si>
  <si>
    <t>Total Utility Expense</t>
  </si>
  <si>
    <t>Utilities</t>
  </si>
  <si>
    <t>Total Maintenance</t>
  </si>
  <si>
    <t>Total General Expenses</t>
  </si>
  <si>
    <t>Total Reserves</t>
  </si>
  <si>
    <t>Total Fixed Assets</t>
  </si>
  <si>
    <t>Maintenance</t>
  </si>
  <si>
    <t>01-900-0-1110.000</t>
  </si>
  <si>
    <t>01-900-0-1120.000</t>
  </si>
  <si>
    <t>01-900-0-1129.000</t>
  </si>
  <si>
    <t>01-900-0-1130.000</t>
  </si>
  <si>
    <t>01-900-0-1140.000</t>
  </si>
  <si>
    <t>01-900-0-1147.000</t>
  </si>
  <si>
    <t>01-900-0-1191.000</t>
  </si>
  <si>
    <t>01-900-0-1290.000</t>
  </si>
  <si>
    <t>01-900-0-1320.000</t>
  </si>
  <si>
    <t>01-900-0-1410.000</t>
  </si>
  <si>
    <t>01-900-0-1420.000</t>
  </si>
  <si>
    <t>01-900-0-1425.000</t>
  </si>
  <si>
    <t>01-900-0-1430.000</t>
  </si>
  <si>
    <t>01-900-0-1440.000</t>
  </si>
  <si>
    <t>01-900-0-1440.010</t>
  </si>
  <si>
    <t>01-900-0-1450.000</t>
  </si>
  <si>
    <t>01-900-0-1460.000</t>
  </si>
  <si>
    <t>01-900-0-1490.000</t>
  </si>
  <si>
    <t>01-900-0-2110.010</t>
  </si>
  <si>
    <t>01-900-0-2111.000</t>
  </si>
  <si>
    <t>01-900-0-2190.000</t>
  </si>
  <si>
    <t>01-900-0-2191.000</t>
  </si>
  <si>
    <t>01-900-0-2192.000</t>
  </si>
  <si>
    <t>01-900-0-2210.000</t>
  </si>
  <si>
    <t>01-900-0-2220.000</t>
  </si>
  <si>
    <t>01-900-0-2320.000</t>
  </si>
  <si>
    <t>01-900-0-2410.000</t>
  </si>
  <si>
    <t>01-900-0-2412.000</t>
  </si>
  <si>
    <t>01-900-0-2413.000</t>
  </si>
  <si>
    <t>01-900-0-2414.000</t>
  </si>
  <si>
    <t>01-900-0-2416.000</t>
  </si>
  <si>
    <t>01-900-0-2419.000</t>
  </si>
  <si>
    <t>01-900-0-2700.000</t>
  </si>
  <si>
    <t>01-900-0-2850.000</t>
  </si>
  <si>
    <t>01-900-0-3250.000</t>
  </si>
  <si>
    <t>01-900-0-3290.000</t>
  </si>
  <si>
    <t>01-900-1-5120.000</t>
  </si>
  <si>
    <t>01-900-1-5120.100</t>
  </si>
  <si>
    <t>01-900-1-5122.000</t>
  </si>
  <si>
    <t>01-900-1-5220.000</t>
  </si>
  <si>
    <t>01-900-1-5410.000</t>
  </si>
  <si>
    <t>01-900-1-5440.000</t>
  </si>
  <si>
    <t>01-900-1-5910.000</t>
  </si>
  <si>
    <t>01-900-1-5920.000</t>
  </si>
  <si>
    <t>01-900-1-5930.000</t>
  </si>
  <si>
    <t>01-900-1-5990.000</t>
  </si>
  <si>
    <t>01-900-1-5995.000</t>
  </si>
  <si>
    <t>01-900-1-6210.000</t>
  </si>
  <si>
    <t>01-900-1-6310.000</t>
  </si>
  <si>
    <t>01-900-1-6311.000</t>
  </si>
  <si>
    <t>01-900-1-6313.000</t>
  </si>
  <si>
    <t>01-900-1-6320.000</t>
  </si>
  <si>
    <t>01-900-1-6330.000</t>
  </si>
  <si>
    <t>01-900-1-6340.000</t>
  </si>
  <si>
    <t>01-900-1-6350.000</t>
  </si>
  <si>
    <t>01-900-1-6360.000</t>
  </si>
  <si>
    <t>01-900-1-6370.000</t>
  </si>
  <si>
    <t>01-900-1-6380.000</t>
  </si>
  <si>
    <t>01-900-1-6390.000</t>
  </si>
  <si>
    <t>01-900-1-6390.100</t>
  </si>
  <si>
    <t>01-900-1-6391.000</t>
  </si>
  <si>
    <t>01-900-1-6450.000</t>
  </si>
  <si>
    <t>01-900-1-6451.000</t>
  </si>
  <si>
    <t>01-900-1-6452.000</t>
  </si>
  <si>
    <t>01-900-1-6453.000</t>
  </si>
  <si>
    <t>01-900-1-6515.000</t>
  </si>
  <si>
    <t>01-900-1-6517.000</t>
  </si>
  <si>
    <t>01-900-1-6519.000</t>
  </si>
  <si>
    <t>01-900-1-6525.000</t>
  </si>
  <si>
    <t>01-900-1-6530.000</t>
  </si>
  <si>
    <t>01-900-1-6537.000</t>
  </si>
  <si>
    <t>01-900-1-6540.000</t>
  </si>
  <si>
    <t>01-900-1-6541.000</t>
  </si>
  <si>
    <t>01-900-1-6542.000</t>
  </si>
  <si>
    <t>01-900-1-6543.000</t>
  </si>
  <si>
    <t>01-900-1-6545.000</t>
  </si>
  <si>
    <t>01-900-1-6548.000</t>
  </si>
  <si>
    <t>01-900-1-6590.000</t>
  </si>
  <si>
    <t>01-900-1-6711.000</t>
  </si>
  <si>
    <t>01-900-1-6720.000</t>
  </si>
  <si>
    <t>01-900-1-6723.000</t>
  </si>
  <si>
    <t>01-900-1-6725.000</t>
  </si>
  <si>
    <t>01-900-1-6740.000</t>
  </si>
  <si>
    <t>01-900-1-6742.000</t>
  </si>
  <si>
    <t>01-900-1-6820.000</t>
  </si>
  <si>
    <t>01-900-1-6960.000</t>
  </si>
  <si>
    <t>01-900-5-1320.000</t>
  </si>
  <si>
    <t>01-900-5-1320.010</t>
  </si>
  <si>
    <t>01-900-5-1410.000</t>
  </si>
  <si>
    <t>01-900-5-1425.000</t>
  </si>
  <si>
    <t>01-900-5-1430.000</t>
  </si>
  <si>
    <t>01-900-5-1440.000</t>
  </si>
  <si>
    <t>01-900-5-1450.000</t>
  </si>
  <si>
    <t>01-900-5-1460.000</t>
  </si>
  <si>
    <t>01-900-5-1490.000</t>
  </si>
  <si>
    <t>01-900-5-2320.000</t>
  </si>
  <si>
    <t>01-900-5-5999.000</t>
  </si>
  <si>
    <t>01-900-5-6390.000</t>
  </si>
  <si>
    <t>Petty Cash</t>
  </si>
  <si>
    <t>Cash in Bank Checking</t>
  </si>
  <si>
    <t xml:space="preserve">A/R Energy Outreach Program </t>
  </si>
  <si>
    <t>Prepaid Expenses</t>
  </si>
  <si>
    <t xml:space="preserve">Land </t>
  </si>
  <si>
    <t>Office Building-Caesar Square</t>
  </si>
  <si>
    <t>Bldg Eqpt-Fixed</t>
  </si>
  <si>
    <t>Bldg Eqpt-Portable</t>
  </si>
  <si>
    <t>Bldg Equip Portable-Caesar FIRE</t>
  </si>
  <si>
    <t>Pet Deposit</t>
  </si>
  <si>
    <t>Prepaid Rent</t>
  </si>
  <si>
    <t>Deferred Revenue</t>
  </si>
  <si>
    <t>Mortgage Payable-Building</t>
  </si>
  <si>
    <t>Reserve for Depr-Building</t>
  </si>
  <si>
    <t>Reserve for Depr-Bldg Equip Fixe</t>
  </si>
  <si>
    <t>Reserve for Depr-Bldg Equip Portable</t>
  </si>
  <si>
    <t>Reserve for Depr-Furnishings</t>
  </si>
  <si>
    <t>Reserve for Depr - Misc Fixed Assets</t>
  </si>
  <si>
    <t>Income/Expense Clearing</t>
  </si>
  <si>
    <t>Contribution from Green Ridge</t>
  </si>
  <si>
    <t>Retained Earnings</t>
  </si>
  <si>
    <t>Rent Concessions</t>
  </si>
  <si>
    <t>Utility Income</t>
  </si>
  <si>
    <t>Int Income - Repl Reserves</t>
  </si>
  <si>
    <t>Relet Apartment Income</t>
  </si>
  <si>
    <t>Miscellaneous Income</t>
  </si>
  <si>
    <t>CDBG Revenue</t>
  </si>
  <si>
    <t>Management Fees</t>
  </si>
  <si>
    <t>Managers Salaries</t>
  </si>
  <si>
    <t>Legal Expenses</t>
  </si>
  <si>
    <t>Office Eqpt Maintenance</t>
  </si>
  <si>
    <t>Misc Admin Expen</t>
  </si>
  <si>
    <t>Tenant Functions</t>
  </si>
  <si>
    <t>Electricity</t>
  </si>
  <si>
    <t>Security Contract</t>
  </si>
  <si>
    <t xml:space="preserve">Contract Labor </t>
  </si>
  <si>
    <t>Repair Material</t>
  </si>
  <si>
    <t>Property &amp; Liability Ins</t>
  </si>
  <si>
    <t>Workman's Comp Expense</t>
  </si>
  <si>
    <t>Interest on Mtg Payable</t>
  </si>
  <si>
    <t>Transfer from Reserves</t>
  </si>
  <si>
    <t>Building Equipment-Fixed</t>
  </si>
  <si>
    <t>Building Equipment-Portable</t>
  </si>
  <si>
    <t>Mortgage Payment</t>
  </si>
  <si>
    <t>Cap Contribution from Owner</t>
  </si>
  <si>
    <t>Fixed Assets-Contra</t>
  </si>
  <si>
    <t>Caesar Square</t>
  </si>
  <si>
    <t>01-900-1-6536.000</t>
  </si>
  <si>
    <t>01-900-1-6743.000</t>
  </si>
  <si>
    <t>Ground Supplies</t>
  </si>
  <si>
    <t>01-900-1-5120.200</t>
  </si>
  <si>
    <t>01-900-1-6317.000</t>
  </si>
  <si>
    <t>Pet Rental Income</t>
  </si>
  <si>
    <t xml:space="preserve">Late Fees </t>
  </si>
  <si>
    <t>Other Income - Misc</t>
  </si>
  <si>
    <t>Operating</t>
  </si>
  <si>
    <t>Manintenance</t>
  </si>
  <si>
    <t>Real Estate/Tenant Svcs</t>
  </si>
  <si>
    <t>Mgmt Fees</t>
  </si>
  <si>
    <t>Legal Expense</t>
  </si>
  <si>
    <t>Misc Admin Expenses</t>
  </si>
  <si>
    <t>Cleaning</t>
  </si>
  <si>
    <t>Extermination</t>
  </si>
  <si>
    <t>Repair Materials</t>
  </si>
  <si>
    <t xml:space="preserve">Repair Payroll </t>
  </si>
  <si>
    <t xml:space="preserve">Snow Removal </t>
  </si>
  <si>
    <t>Insurance</t>
  </si>
  <si>
    <t>Bad Debt loss</t>
  </si>
  <si>
    <t xml:space="preserve">Based on depreciation schedule </t>
  </si>
  <si>
    <t>Land</t>
  </si>
  <si>
    <t xml:space="preserve">Bldg </t>
  </si>
  <si>
    <t xml:space="preserve">Bldg Improvements </t>
  </si>
  <si>
    <t>Bldg Eqpt Fixed</t>
  </si>
  <si>
    <t>Bldg Equipment Portable</t>
  </si>
  <si>
    <t>Misc. Fixed Assets</t>
  </si>
  <si>
    <t>Rehab Interest Income</t>
  </si>
  <si>
    <t>Rehab Loan Income</t>
  </si>
  <si>
    <t>Lkwd Rehab Loan Income</t>
  </si>
  <si>
    <t xml:space="preserve">Loan Servicing Fees </t>
  </si>
  <si>
    <t>Other Revenue</t>
  </si>
  <si>
    <t>Salaries - Lakewood</t>
  </si>
  <si>
    <t>Salaries - Westminster</t>
  </si>
  <si>
    <t>Management Fee</t>
  </si>
  <si>
    <t>Legal</t>
  </si>
  <si>
    <t>Computer Expenses</t>
  </si>
  <si>
    <t xml:space="preserve">Travel &amp; Training </t>
  </si>
  <si>
    <t>Trvl &amp; Trg - Lakewood</t>
  </si>
  <si>
    <t xml:space="preserve">Program Expenses </t>
  </si>
  <si>
    <t>Rehab Exp -CDBG Funds</t>
  </si>
  <si>
    <t>Rehab Exp -Jeffco</t>
  </si>
  <si>
    <t>Rehab Exp - Jeffco HOME</t>
  </si>
  <si>
    <t>Rehab Exp - Westminster</t>
  </si>
  <si>
    <t>Payroll Tax - Lakewood</t>
  </si>
  <si>
    <t>Payroll Tax - Westminster</t>
  </si>
  <si>
    <t>Benefits - Lakewood</t>
  </si>
  <si>
    <t>Benefits - Westminster</t>
  </si>
  <si>
    <t>Other Income</t>
  </si>
  <si>
    <t xml:space="preserve">Management Fee </t>
  </si>
  <si>
    <t xml:space="preserve">Electricity </t>
  </si>
  <si>
    <t>Workmen's Comp Expense</t>
  </si>
  <si>
    <t>Interest on Mortgage Payable</t>
  </si>
  <si>
    <t>Mortgage Payable</t>
  </si>
  <si>
    <t xml:space="preserve">Land Structure / Building </t>
  </si>
  <si>
    <t>Land Improvements</t>
  </si>
  <si>
    <t>Bldg Equip Fixed</t>
  </si>
  <si>
    <t>Bldg Equip Portable</t>
  </si>
  <si>
    <t xml:space="preserve">Laundry Income </t>
  </si>
  <si>
    <t>Application Fees</t>
  </si>
  <si>
    <t>Financing</t>
  </si>
  <si>
    <t>Dues &amp; Meeting Expenses</t>
  </si>
  <si>
    <t>Copier Management (leases)</t>
  </si>
  <si>
    <t>Manager Salaries</t>
  </si>
  <si>
    <t xml:space="preserve">Office Equip/Maintenance </t>
  </si>
  <si>
    <t>Total Utilities</t>
  </si>
  <si>
    <t>Exterminating Contract</t>
  </si>
  <si>
    <t>Pool Supplies</t>
  </si>
  <si>
    <t>Pool Contract Work</t>
  </si>
  <si>
    <t>Ground Contract</t>
  </si>
  <si>
    <t>Prop &amp; Liability Insurance</t>
  </si>
  <si>
    <t>Interest Expense</t>
  </si>
  <si>
    <t>Total Finance Expense</t>
  </si>
  <si>
    <t>Repl Reserves</t>
  </si>
  <si>
    <t>Land &amp; Improvements</t>
  </si>
  <si>
    <t>Building</t>
  </si>
  <si>
    <t>Building Eqpt - Fixed</t>
  </si>
  <si>
    <t>Bldg Eqpt - Portable</t>
  </si>
  <si>
    <t>Total Capital Items</t>
  </si>
  <si>
    <t xml:space="preserve">Rental Income </t>
  </si>
  <si>
    <t>Tranfer from Reserves</t>
  </si>
  <si>
    <t>Dues &amp; Meeting Exp</t>
  </si>
  <si>
    <t>Prop &amp; Liab Insurance</t>
  </si>
  <si>
    <t>Seal Coat</t>
  </si>
  <si>
    <t>Bldg Eqpt - Fixed</t>
  </si>
  <si>
    <t>Bldg Eqpt  - Portable</t>
  </si>
  <si>
    <t>Tenant Assistance Payments</t>
  </si>
  <si>
    <t>Int Income-Residual Receipts</t>
  </si>
  <si>
    <t>Int Income-Repl Reserves</t>
  </si>
  <si>
    <t>Interest Income-Operating</t>
  </si>
  <si>
    <t xml:space="preserve">Office Supplies </t>
  </si>
  <si>
    <t>Copier Management(leases)</t>
  </si>
  <si>
    <t xml:space="preserve">Manager Salaries </t>
  </si>
  <si>
    <t>Legal (GR)</t>
  </si>
  <si>
    <t xml:space="preserve">Audit Expense </t>
  </si>
  <si>
    <t>Internet Service</t>
  </si>
  <si>
    <t>Office Equipment Maint.</t>
  </si>
  <si>
    <t xml:space="preserve">Misc Admin Exp </t>
  </si>
  <si>
    <t xml:space="preserve">Tenant Functions </t>
  </si>
  <si>
    <t xml:space="preserve">Water </t>
  </si>
  <si>
    <t xml:space="preserve">Sewer </t>
  </si>
  <si>
    <t>Cleaning Sup</t>
  </si>
  <si>
    <t xml:space="preserve">Cleaning Contract </t>
  </si>
  <si>
    <t>Maintenance Mgr-Unit Turnovers</t>
  </si>
  <si>
    <t>Exterminating Cont</t>
  </si>
  <si>
    <t xml:space="preserve">Trash Removal </t>
  </si>
  <si>
    <t>Shrubs &amp; Planting</t>
  </si>
  <si>
    <t>Elevator Maint</t>
  </si>
  <si>
    <t>Misc Operating &amp; Maint</t>
  </si>
  <si>
    <t>Workman's Comp Exp</t>
  </si>
  <si>
    <t>Other Interest</t>
  </si>
  <si>
    <t>Security deposit int. to tenant</t>
  </si>
  <si>
    <t>Elderly Services</t>
  </si>
  <si>
    <t>Depreciation  Expense</t>
  </si>
  <si>
    <t>Tsf from Operating Reserves</t>
  </si>
  <si>
    <t xml:space="preserve">Operating Reserves </t>
  </si>
  <si>
    <t>Building Equip-Fixed</t>
  </si>
  <si>
    <t>Building Equip-Portable</t>
  </si>
  <si>
    <t xml:space="preserve">Interest Income </t>
  </si>
  <si>
    <t>Misc Income</t>
  </si>
  <si>
    <t>Office Apartment</t>
  </si>
  <si>
    <t xml:space="preserve">Management Fees </t>
  </si>
  <si>
    <t>Professional Services</t>
  </si>
  <si>
    <t>Audit Expense</t>
  </si>
  <si>
    <t>Janitorial Supply</t>
  </si>
  <si>
    <t xml:space="preserve">Janitorial Contract </t>
  </si>
  <si>
    <t>Security Expense</t>
  </si>
  <si>
    <t>Grounds Contract</t>
  </si>
  <si>
    <t>Grounds Supplies</t>
  </si>
  <si>
    <t xml:space="preserve">Repair Contract </t>
  </si>
  <si>
    <t>Workman's Comp</t>
  </si>
  <si>
    <t>Bad Debt Expense</t>
  </si>
  <si>
    <t>Fire Protection</t>
  </si>
  <si>
    <t>Parks and Recreation</t>
  </si>
  <si>
    <t>Elevator Maintenance</t>
  </si>
  <si>
    <t>Telephone Expense</t>
  </si>
  <si>
    <t>Misc Admin Expense</t>
  </si>
  <si>
    <t>Cleaning Cont</t>
  </si>
  <si>
    <t>Tsf from Repl Reserves</t>
  </si>
  <si>
    <t>Tsf from Resid Receipts</t>
  </si>
  <si>
    <t>Land &amp; Improve</t>
  </si>
  <si>
    <t>Building(CG)</t>
  </si>
  <si>
    <t>Admin Fee Earned</t>
  </si>
  <si>
    <t>HAP Pmts Contributions</t>
  </si>
  <si>
    <t>Portability-In Revenue</t>
  </si>
  <si>
    <t>Fraud Recovery</t>
  </si>
  <si>
    <t>Housing Assisted Payments (HUD)</t>
  </si>
  <si>
    <t xml:space="preserve">Audit Expenses </t>
  </si>
  <si>
    <t xml:space="preserve">Misc Admin Expenses </t>
  </si>
  <si>
    <t xml:space="preserve">Contract Services </t>
  </si>
  <si>
    <t>Hsg Assistance Payments</t>
  </si>
  <si>
    <t>HAP Utilities Payments</t>
  </si>
  <si>
    <t>Total Hsg Assisted Payments</t>
  </si>
  <si>
    <t>Inflation 3% unless otherwise noted</t>
  </si>
  <si>
    <t>Inc. by 3%</t>
  </si>
  <si>
    <t>Mgmt Fee - Green Ridge</t>
  </si>
  <si>
    <t>Mgmt Fee - Canyon Gate</t>
  </si>
  <si>
    <t>Mgmt Fee - Mtn View</t>
  </si>
  <si>
    <t>Mgmt Fee - Caesar</t>
  </si>
  <si>
    <t>Mgmt Fee - Aspen Ridge</t>
  </si>
  <si>
    <t>Mgmt Fee - Redwd Village</t>
  </si>
  <si>
    <t>Mgmt Fee - Viking Square</t>
  </si>
  <si>
    <t>Mgmt Fee - Kendall</t>
  </si>
  <si>
    <t>Mgmt Fee-Glndale LLLC</t>
  </si>
  <si>
    <t>Mgmt Fee-Lewis Ct Apts</t>
  </si>
  <si>
    <t>Mgmt Fee - OV</t>
  </si>
  <si>
    <t>Payroll Service</t>
  </si>
  <si>
    <t>Doc Mgmt Svc - Cintas</t>
  </si>
  <si>
    <t>Copier Management (CIT)</t>
  </si>
  <si>
    <t>New Development - legal</t>
  </si>
  <si>
    <t xml:space="preserve">Telephone </t>
  </si>
  <si>
    <t>Misc  Admin Exp</t>
  </si>
  <si>
    <t>Travel Expense</t>
  </si>
  <si>
    <t xml:space="preserve">Gas </t>
  </si>
  <si>
    <t xml:space="preserve">Ground Contract </t>
  </si>
  <si>
    <t xml:space="preserve">Contribution </t>
  </si>
  <si>
    <t>Miscellaneous Fixed Assets</t>
  </si>
  <si>
    <t>Mgmt Fee - Corp Properties</t>
  </si>
  <si>
    <t>Mgmt Fee-LC Prtnership Fee</t>
  </si>
  <si>
    <t>Power Wash</t>
  </si>
  <si>
    <t>Interior common areas painting</t>
  </si>
  <si>
    <t xml:space="preserve"> Concrete mud jacked</t>
  </si>
  <si>
    <t xml:space="preserve">30% of Payroll  </t>
  </si>
  <si>
    <t>Playground $12K/Exterior Storage Shed $3K</t>
  </si>
  <si>
    <t>Housing Assisted Payments (HUD) - Utilities</t>
  </si>
  <si>
    <t xml:space="preserve">7.65% of payroll </t>
  </si>
  <si>
    <t>7.65% of payroll</t>
  </si>
  <si>
    <t>30% of total payroll</t>
  </si>
  <si>
    <t>New Budget</t>
  </si>
  <si>
    <t xml:space="preserve">Monthly </t>
  </si>
  <si>
    <t>Client Verification</t>
  </si>
  <si>
    <t>Relet Apartment</t>
  </si>
  <si>
    <t>None provided in 2015</t>
  </si>
  <si>
    <t>Mobile unit</t>
  </si>
  <si>
    <t>Storage Shed, bldg boiler</t>
  </si>
  <si>
    <t>Includes tree trimming</t>
  </si>
  <si>
    <t>Amortization Expense</t>
  </si>
  <si>
    <t>Contract Labor</t>
  </si>
  <si>
    <t>Transfer in Reserves</t>
  </si>
  <si>
    <t>Interest Income - Lewis Court</t>
  </si>
  <si>
    <t>1st Mortgage - JCHA</t>
  </si>
  <si>
    <t>SRC contribution</t>
  </si>
  <si>
    <t>Interest Expense - Jeffco</t>
  </si>
  <si>
    <t>Apex Park &amp; Rec District (In-Lieu -Tax)</t>
  </si>
  <si>
    <t>Loan Servicing Fees</t>
  </si>
  <si>
    <t>YTD Actual through 9/30/15</t>
  </si>
  <si>
    <t>Lewis Court Loan Repayment</t>
  </si>
  <si>
    <t>Reallocation of salaries</t>
  </si>
  <si>
    <t>City of Arvada Payable</t>
  </si>
  <si>
    <t>Playground equipment</t>
  </si>
  <si>
    <t>Mortgage Reserves</t>
  </si>
  <si>
    <t>Projection based on cash flow</t>
  </si>
  <si>
    <t>Administrative Expenditures</t>
  </si>
  <si>
    <t>Utility Expenditures</t>
  </si>
  <si>
    <t>Maintenance Expenditures</t>
  </si>
  <si>
    <t>General Expenditures</t>
  </si>
  <si>
    <t>Capital Expenditures</t>
  </si>
  <si>
    <t>Financing Expenditures</t>
  </si>
  <si>
    <t>Damages &amp; Cleaning Fees</t>
  </si>
  <si>
    <t>Elderly Services (SRC)</t>
  </si>
  <si>
    <t>Extra Maintenance</t>
  </si>
  <si>
    <t>CONSOLIDATED</t>
  </si>
  <si>
    <t>Actual</t>
  </si>
  <si>
    <t>Budget</t>
  </si>
  <si>
    <t xml:space="preserve">YTD </t>
  </si>
  <si>
    <t>FY 2015</t>
  </si>
  <si>
    <t>ANNUAL</t>
  </si>
  <si>
    <t>Monthly</t>
  </si>
  <si>
    <t xml:space="preserve"> </t>
  </si>
  <si>
    <t>JEFFERSON COUNTY HOUSING AUTHORITY</t>
  </si>
  <si>
    <t>FY 2016 OPERATING BUDGET</t>
  </si>
  <si>
    <t>YTD Actual FY 2015 @ 9/30/15</t>
  </si>
  <si>
    <t>2015 Annual Budget</t>
  </si>
  <si>
    <t>Kendall Apts Budget Projection Year 2016</t>
  </si>
  <si>
    <t>Projected Annual Budget 2016</t>
  </si>
  <si>
    <t>Mtn View Sq Apts Budget Projection Year 2016</t>
  </si>
  <si>
    <t>Section 8 Budget Projection Year 2016</t>
  </si>
  <si>
    <t>Caesar Sq Apts Budget Projection Year 2016</t>
  </si>
  <si>
    <t>Aspen Ridge Budget Projection Year 2016</t>
  </si>
  <si>
    <t>Redwood Village Budget Projection Year 2016</t>
  </si>
  <si>
    <t>Green Ridge Meadow Budget Projection Year 2016</t>
  </si>
  <si>
    <t>Glendale Apts Budget Projection Year 2016</t>
  </si>
  <si>
    <t>Viking Square Budget Projection Year 2016</t>
  </si>
  <si>
    <t>Canyon Gate Apts Budget Projection Year 2016</t>
  </si>
  <si>
    <t>Lewis Court Apts Budget Projection Year 2016</t>
  </si>
  <si>
    <t>JCHA MGMT Budget Projection Year 2016</t>
  </si>
  <si>
    <t>Kendall</t>
  </si>
  <si>
    <t>FY 2016</t>
  </si>
  <si>
    <t>at 9/30/15</t>
  </si>
  <si>
    <t>Mountain View</t>
  </si>
  <si>
    <t>Section 8</t>
  </si>
  <si>
    <t>Rehab Budget Projection Year 2016</t>
  </si>
  <si>
    <t>Rehab</t>
  </si>
  <si>
    <t>Aspen Ridge</t>
  </si>
  <si>
    <t>Redwood</t>
  </si>
  <si>
    <t>Green Ridge</t>
  </si>
  <si>
    <t>Glendale</t>
  </si>
  <si>
    <t>Viking Square</t>
  </si>
  <si>
    <t>Canyon Gate</t>
  </si>
  <si>
    <t>Lewis Court</t>
  </si>
  <si>
    <t>Harlan St Apts Budget Projection Year 2016</t>
  </si>
  <si>
    <t>Harlan St</t>
  </si>
  <si>
    <t>JCHA</t>
  </si>
  <si>
    <t>The deposits are to inc. by 3% annually. We are doing excess of that.</t>
  </si>
  <si>
    <t>Bookkeeping/Accounting Fees</t>
  </si>
  <si>
    <t>Ptrnship Mgmt Fee</t>
  </si>
  <si>
    <t>Asset Mgmt Fee</t>
  </si>
  <si>
    <t>Operating Receipts - Total</t>
  </si>
  <si>
    <t>Operating Expenditures</t>
  </si>
  <si>
    <t>Total Administrative Expenses</t>
  </si>
  <si>
    <t>Total Utility Expenses</t>
  </si>
  <si>
    <t>Total Maintenance Expenses</t>
  </si>
  <si>
    <t>Total Financing Expenses</t>
  </si>
  <si>
    <t>Total Reserve Expenses</t>
  </si>
  <si>
    <t>Total Capital Expenses</t>
  </si>
  <si>
    <t>Housing Assistance Payments</t>
  </si>
  <si>
    <t>Total Housing Assistance Payments</t>
  </si>
  <si>
    <t>Total Expenditures</t>
  </si>
  <si>
    <t>Net (Gain)/Loss</t>
  </si>
  <si>
    <t>Depreciation Included in General Expenses</t>
  </si>
  <si>
    <t>Net (Income)Loss After Depreciation</t>
  </si>
  <si>
    <t>Replacement Reserves $42,055.96</t>
  </si>
  <si>
    <t>Operating Reserves $383,788.46</t>
  </si>
  <si>
    <t>Social Service Reserves $375,650.20</t>
  </si>
  <si>
    <t>Carpet/Vinyl Expense</t>
  </si>
  <si>
    <t>Appliance Expense</t>
  </si>
  <si>
    <t>Tenant Services</t>
  </si>
  <si>
    <t>Accrued for 2016</t>
  </si>
  <si>
    <t>3.9% Inc as per Xcel Energy</t>
  </si>
  <si>
    <t>4% Inc as per Denver Water</t>
  </si>
  <si>
    <t>3% Inc as per Xcel Energy</t>
  </si>
  <si>
    <t>Increase of 5%</t>
  </si>
  <si>
    <t>Increase of 4%</t>
  </si>
  <si>
    <t>30.% of payroll - Hlth, Dental, CCOERA &amp; Mtn St Employ Council</t>
  </si>
  <si>
    <t>2 W/D @ 1200 ,Fridge 675,Microwave 475,D/W 2@450</t>
  </si>
  <si>
    <t>3% inc as per HAIG</t>
  </si>
  <si>
    <t>3.% of payroll  per Mtn St Employ Council Pd in Dec-Estimate</t>
  </si>
  <si>
    <t xml:space="preserve">Replace (2) pole lights@600, cabinet stand 300, (2) outdr umbrellas </t>
  </si>
  <si>
    <t>Painting  of exterior awing rear of bldg</t>
  </si>
  <si>
    <t>Rebate income from Xcel Energy</t>
  </si>
  <si>
    <t>Donahue $75/Clements $550 monthly</t>
  </si>
  <si>
    <t>Includes SRC tenant outings</t>
  </si>
  <si>
    <t>Floating mtnce person</t>
  </si>
  <si>
    <t>2 A/C units @$2000, 1 Hot Water Heater $6000</t>
  </si>
  <si>
    <t>FY 2015 - 9 month Avg</t>
  </si>
  <si>
    <t>Dialectic unions 4@$475</t>
  </si>
  <si>
    <t>Based on existing contract</t>
  </si>
  <si>
    <t>Based on mortgage schedule</t>
  </si>
  <si>
    <t>Based on mortgage schedule - NSP &amp; CDBG loans</t>
  </si>
  <si>
    <t>(2) units of carpet @600 ea. (carpet/appliance - capital items are exp) inc to $1500</t>
  </si>
  <si>
    <t>Includes tree replacing, pole lights,landscaping, concrete work</t>
  </si>
  <si>
    <t>On 10/2015 Informational purpose on Reserve Accounts:</t>
  </si>
  <si>
    <t>Senior Resource Center</t>
  </si>
  <si>
    <t>Based on 2% of rental income</t>
  </si>
  <si>
    <t>Reimb from Social Reserve account (SRC)</t>
  </si>
  <si>
    <t>Carpet clning &amp; paint common areas &amp; furniture qtrly, inc due to HVAC prevent mtnce &amp; touchup</t>
  </si>
  <si>
    <t>Unemployment Benefits</t>
  </si>
  <si>
    <t>Const. Mgmt Fee - WRHA</t>
  </si>
  <si>
    <t>Admin Exp - Dept of HUD</t>
  </si>
  <si>
    <t>Loss on Disposal Fixed Assets</t>
  </si>
  <si>
    <t>VASH Pmts Contributions</t>
  </si>
  <si>
    <t>Education Expense</t>
  </si>
  <si>
    <t>Loss Disposal Fixed Asset</t>
  </si>
  <si>
    <t>Applications Fees</t>
  </si>
  <si>
    <t>Pool Contract</t>
  </si>
  <si>
    <t>Lakewood Expenses</t>
  </si>
  <si>
    <t>Education Expenses</t>
  </si>
  <si>
    <t>9 MO Average</t>
  </si>
  <si>
    <t>4% Inc as per Garbage Service</t>
  </si>
  <si>
    <t>1% inc as per HAIG</t>
  </si>
  <si>
    <t>Monthly amount of $30,176 - 50 VASH units</t>
  </si>
  <si>
    <t>Annual training for employees</t>
  </si>
  <si>
    <t>Based on HUD est. of 1420 units</t>
  </si>
  <si>
    <t>VASH Assistance Payments</t>
  </si>
  <si>
    <t>1420 vouchers (avg HAP $587)inc. util 100K</t>
  </si>
  <si>
    <t>Re-Certs, Bi-annual renewals done by Concept One</t>
  </si>
  <si>
    <t>External education to employees</t>
  </si>
  <si>
    <t>2% increase over prior year per contract</t>
  </si>
  <si>
    <t>Includes Otis Elevator annual contract</t>
  </si>
  <si>
    <t>Based on renewal date - no contract</t>
  </si>
  <si>
    <t>Based on amort schedule</t>
  </si>
  <si>
    <t>12% Inc as per Garbage Service</t>
  </si>
  <si>
    <t>Loan repayment for boiler - repaid 12/31/14</t>
  </si>
  <si>
    <t>Significant write - offs in 2015</t>
  </si>
  <si>
    <t>5% Inc as per Garbage Service</t>
  </si>
  <si>
    <t>On 10/2015    Replacement Reserves $82,105.09</t>
  </si>
  <si>
    <t>On 10/2015    Replacement Reserves $218,644.51</t>
  </si>
  <si>
    <t>On 10/2015    Replacement Reserves $1,000.00</t>
  </si>
  <si>
    <t>5% Inc as per Xcel Energy</t>
  </si>
  <si>
    <t>Loan payoffs in 2015</t>
  </si>
  <si>
    <t>Payment to U.S. Dept of HUD - re: PH Op Res 2007</t>
  </si>
  <si>
    <t>2% inc as per HAIG (To inc N/D acquisitions)</t>
  </si>
  <si>
    <t>N/D - Hidden Lake Expenses</t>
  </si>
  <si>
    <t>Medici Construction Mgmt $135K ( Pre-constuct phase fee) $3K /month</t>
  </si>
  <si>
    <t>ED Vehicle 2015, New copier downstairs 30K</t>
  </si>
  <si>
    <t>On 10/2015    Replacement Reserves $302,879.25</t>
  </si>
  <si>
    <t>Ext paint $12K/Sprinkler heads to units (bldg upgrade) $2K</t>
  </si>
  <si>
    <t>Re-roof Garage/Gazabo</t>
  </si>
  <si>
    <t>On 10/2015    Replacement Reserves $87,440.26</t>
  </si>
  <si>
    <t>On 10/2015    Replacement Reserves $130,595.92</t>
  </si>
  <si>
    <t>(3) Water Heater replacements</t>
  </si>
  <si>
    <t>On 10/2015    Replacement Reserves $36,463.73</t>
  </si>
  <si>
    <t>Exterior painting</t>
  </si>
  <si>
    <t>On 10/2015    Replacement Reserves $31,505.57</t>
  </si>
  <si>
    <t xml:space="preserve">Re-sod </t>
  </si>
  <si>
    <t>Cabinets/Counter tops $3K/Furnace $2300</t>
  </si>
  <si>
    <t>On 10/2015    Replacement Reserves $39,329.98</t>
  </si>
  <si>
    <t xml:space="preserve">Tree Trimming </t>
  </si>
  <si>
    <t>No GPO on-site</t>
  </si>
  <si>
    <t>Awnings $36K, paint interior $3K,club house $5K</t>
  </si>
  <si>
    <t>Asphalt Overlay $14K, resurface pool/deck $8K</t>
  </si>
  <si>
    <t>On 10/2015    Replacement Reserves $153,203.70</t>
  </si>
  <si>
    <t xml:space="preserve">Roof for one bldg </t>
  </si>
  <si>
    <t xml:space="preserve">Project settlement cost </t>
  </si>
  <si>
    <t>Lkwd CDBG Fnds-FY15</t>
  </si>
  <si>
    <t>Jeffco CDBG Inc-FY14</t>
  </si>
  <si>
    <t>Westminster CDBG FY15</t>
  </si>
  <si>
    <t>Jeffco HOME</t>
  </si>
  <si>
    <t>Timing of expenditure/revenue</t>
  </si>
  <si>
    <t xml:space="preserve">Rehab Exp - Lakewood CDBG </t>
  </si>
  <si>
    <t>Numbers compared to W 46th</t>
  </si>
  <si>
    <t>New capitalized policy exp to $1500</t>
  </si>
  <si>
    <t>Move outs and new laundry agreements</t>
  </si>
  <si>
    <t>Planned NARO conferences</t>
  </si>
  <si>
    <t>(2) W/H, New cap policy exp to $1500</t>
  </si>
  <si>
    <t>iCAST rebate rec'd in 2015 - $8K</t>
  </si>
  <si>
    <t>Includes Anchor Solutions new annual service contract</t>
  </si>
  <si>
    <t>Arvada Fire Inspection (In-Lieu-Tax) exp @ yr end</t>
  </si>
  <si>
    <t>Loan repayment for windows paid off 1/8/2015</t>
  </si>
  <si>
    <t>Comcast Access Door Fee rec'd in 2015</t>
  </si>
  <si>
    <t>HAIG water damage reimbursement rec'd in 2015</t>
  </si>
  <si>
    <t>City of Westminster bi-annual fee(2014)-$1K for prop inspections</t>
  </si>
  <si>
    <t>Mgmt Fee - Harlan St</t>
  </si>
  <si>
    <t xml:space="preserve">Includes antenna income/LC Bookkeeping Fees </t>
  </si>
  <si>
    <t>Property added in Sept and starting fee in 2016</t>
  </si>
  <si>
    <t>Furnace</t>
  </si>
  <si>
    <t>6.3% of total income minus interest</t>
  </si>
  <si>
    <t>5% of total income less any interest</t>
  </si>
  <si>
    <t xml:space="preserve">3% inc based on 2015 actual  </t>
  </si>
  <si>
    <t>Change in capitalization policy inc. to $1500</t>
  </si>
  <si>
    <t>Based on loan payments in Rehab</t>
  </si>
  <si>
    <t>Inc Anchor Solutions new annual service contract</t>
  </si>
  <si>
    <t>Range, W/H, Fridge, New cap policy exp to $1500</t>
  </si>
  <si>
    <t>Computer srver 5K, labor, license,monitor &amp; printer-9K</t>
  </si>
  <si>
    <t>(2) CPU's, HAB Inc software,(3) Ipads, Inc Anchor new annual svc contract</t>
  </si>
  <si>
    <t>40/60 w/ Lewis Ct</t>
  </si>
  <si>
    <t>Furniture Expense</t>
  </si>
  <si>
    <t>Install W/D to inc. rough plumbing/electrical $5500/Sec Sys $2K</t>
  </si>
  <si>
    <t xml:space="preserve">Inc Anchor Solutions annual svc, (4)printers, (2) computers </t>
  </si>
  <si>
    <t>Filing Cabinet</t>
  </si>
  <si>
    <t>Inc Anchor Solutions new annual svc contract</t>
  </si>
  <si>
    <t>2015 includes evictions &amp; new laundry agreements</t>
  </si>
  <si>
    <t>Paint/siding for 2 bldgs</t>
  </si>
  <si>
    <t>Based on 3-yr average</t>
  </si>
  <si>
    <t>Trf to cover capital items in 2016</t>
  </si>
  <si>
    <t>Utility Truck</t>
  </si>
  <si>
    <t>2 Roofs/siding done in 2015</t>
  </si>
  <si>
    <t>Shared mgr cost with Aspen (A/R-73%/Viking -27%)</t>
  </si>
  <si>
    <t>Power washing &amp; cleaning common areas</t>
  </si>
  <si>
    <t>To inc speed bumps (3) @ $1480 ea.</t>
  </si>
  <si>
    <t>Shared mgr cost with Viking (A/R-73%/Viking -27%)</t>
  </si>
  <si>
    <t xml:space="preserve">Based on 2016 copier projection </t>
  </si>
  <si>
    <t>Inc cabinets/countertops @18*$1200 ea.</t>
  </si>
  <si>
    <t>Includes Anchor Solutions new annual svc contract</t>
  </si>
  <si>
    <t>Concrete Work garden/walk $6K</t>
  </si>
  <si>
    <t>To inc cabinets/countertops $1900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</si>
</sst>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i/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i/>
      <sz val="15"/>
      <name val="Calibri"/>
      <family val="2"/>
      <scheme val="minor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i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6" fillId="0" borderId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3" fillId="0" borderId="0"/>
  </cellStyleXfs>
  <cellXfs count="388">
    <xf numFmtId="0" fontId="0" fillId="0" borderId="0" xfId="0"/>
    <xf numFmtId="0" fontId="0" fillId="0" borderId="0" xfId="0" applyNumberFormat="1"/>
    <xf numFmtId="0" fontId="2" fillId="0" borderId="2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/>
    </xf>
    <xf numFmtId="8" fontId="2" fillId="0" borderId="2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top"/>
    </xf>
    <xf numFmtId="8" fontId="2" fillId="0" borderId="1" xfId="0" applyNumberFormat="1" applyFont="1" applyFill="1" applyBorder="1" applyAlignment="1">
      <alignment horizontal="right" vertical="top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top"/>
    </xf>
    <xf numFmtId="8" fontId="2" fillId="0" borderId="7" xfId="0" applyNumberFormat="1" applyFont="1" applyFill="1" applyBorder="1" applyAlignment="1">
      <alignment horizontal="right" vertical="top"/>
    </xf>
    <xf numFmtId="0" fontId="2" fillId="0" borderId="8" xfId="0" applyNumberFormat="1" applyFont="1" applyFill="1" applyBorder="1" applyAlignment="1">
      <alignment horizontal="left" vertical="top"/>
    </xf>
    <xf numFmtId="0" fontId="2" fillId="0" borderId="9" xfId="0" applyNumberFormat="1" applyFont="1" applyFill="1" applyBorder="1" applyAlignment="1">
      <alignment horizontal="left" vertical="top"/>
    </xf>
    <xf numFmtId="0" fontId="2" fillId="0" borderId="10" xfId="0" applyNumberFormat="1" applyFont="1" applyFill="1" applyBorder="1" applyAlignment="1">
      <alignment horizontal="left" vertical="top"/>
    </xf>
    <xf numFmtId="0" fontId="1" fillId="0" borderId="0" xfId="0" applyFont="1"/>
    <xf numFmtId="38" fontId="2" fillId="0" borderId="1" xfId="0" applyNumberFormat="1" applyFont="1" applyFill="1" applyBorder="1" applyAlignment="1">
      <alignment horizontal="center" vertical="top"/>
    </xf>
    <xf numFmtId="0" fontId="4" fillId="0" borderId="0" xfId="0" applyFont="1"/>
    <xf numFmtId="9" fontId="0" fillId="0" borderId="0" xfId="2" applyFont="1"/>
    <xf numFmtId="9" fontId="0" fillId="0" borderId="0" xfId="2" applyNumberFormat="1" applyFont="1"/>
    <xf numFmtId="38" fontId="2" fillId="0" borderId="1" xfId="0" applyNumberFormat="1" applyFont="1" applyFill="1" applyBorder="1" applyAlignment="1">
      <alignment horizontal="left" vertical="top"/>
    </xf>
    <xf numFmtId="38" fontId="0" fillId="0" borderId="0" xfId="0" applyNumberFormat="1"/>
    <xf numFmtId="9" fontId="7" fillId="0" borderId="0" xfId="2" applyFont="1" applyFill="1" applyBorder="1" applyAlignment="1">
      <alignment wrapText="1"/>
    </xf>
    <xf numFmtId="9" fontId="7" fillId="0" borderId="0" xfId="2" applyFont="1" applyFill="1" applyBorder="1" applyAlignment="1">
      <alignment horizontal="left" wrapText="1"/>
    </xf>
    <xf numFmtId="10" fontId="7" fillId="0" borderId="0" xfId="2" applyNumberFormat="1" applyFont="1" applyAlignment="1">
      <alignment horizontal="left"/>
    </xf>
    <xf numFmtId="38" fontId="5" fillId="0" borderId="0" xfId="0" applyNumberFormat="1" applyFont="1" applyFill="1" applyBorder="1" applyAlignment="1"/>
    <xf numFmtId="38" fontId="5" fillId="0" borderId="15" xfId="0" applyNumberFormat="1" applyFont="1" applyFill="1" applyBorder="1" applyAlignment="1"/>
    <xf numFmtId="38" fontId="5" fillId="0" borderId="16" xfId="0" applyNumberFormat="1" applyFont="1" applyFill="1" applyBorder="1" applyAlignment="1"/>
    <xf numFmtId="0" fontId="0" fillId="0" borderId="0" xfId="0" applyFont="1"/>
    <xf numFmtId="0" fontId="8" fillId="0" borderId="13" xfId="0" applyFont="1" applyBorder="1" applyAlignment="1"/>
    <xf numFmtId="0" fontId="8" fillId="0" borderId="14" xfId="0" applyFont="1" applyBorder="1" applyAlignment="1"/>
    <xf numFmtId="0" fontId="9" fillId="0" borderId="15" xfId="0" applyFont="1" applyBorder="1"/>
    <xf numFmtId="0" fontId="0" fillId="0" borderId="16" xfId="0" applyFont="1" applyBorder="1"/>
    <xf numFmtId="0" fontId="10" fillId="0" borderId="0" xfId="0" applyFont="1"/>
    <xf numFmtId="0" fontId="0" fillId="0" borderId="15" xfId="0" applyFont="1" applyBorder="1"/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0" fillId="0" borderId="29" xfId="0" applyFont="1" applyBorder="1"/>
    <xf numFmtId="0" fontId="5" fillId="0" borderId="29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/>
    </xf>
    <xf numFmtId="0" fontId="0" fillId="0" borderId="0" xfId="0" applyFont="1" applyFill="1" applyBorder="1" applyAlignment="1"/>
    <xf numFmtId="38" fontId="0" fillId="0" borderId="0" xfId="0" applyNumberFormat="1" applyFont="1" applyFill="1" applyBorder="1" applyAlignment="1"/>
    <xf numFmtId="37" fontId="5" fillId="0" borderId="0" xfId="0" applyNumberFormat="1" applyFont="1" applyFill="1" applyBorder="1" applyAlignment="1"/>
    <xf numFmtId="37" fontId="5" fillId="0" borderId="15" xfId="0" applyNumberFormat="1" applyFont="1" applyFill="1" applyBorder="1" applyAlignment="1"/>
    <xf numFmtId="37" fontId="5" fillId="0" borderId="15" xfId="0" applyNumberFormat="1" applyFont="1" applyFill="1" applyBorder="1" applyAlignment="1">
      <alignment wrapText="1"/>
    </xf>
    <xf numFmtId="37" fontId="5" fillId="0" borderId="16" xfId="0" applyNumberFormat="1" applyFont="1" applyFill="1" applyBorder="1" applyAlignment="1"/>
    <xf numFmtId="38" fontId="0" fillId="0" borderId="17" xfId="0" applyNumberFormat="1" applyFont="1" applyFill="1" applyBorder="1" applyAlignment="1"/>
    <xf numFmtId="37" fontId="5" fillId="0" borderId="17" xfId="0" applyNumberFormat="1" applyFont="1" applyFill="1" applyBorder="1" applyAlignment="1"/>
    <xf numFmtId="37" fontId="5" fillId="0" borderId="18" xfId="0" applyNumberFormat="1" applyFont="1" applyFill="1" applyBorder="1" applyAlignment="1"/>
    <xf numFmtId="37" fontId="5" fillId="0" borderId="18" xfId="0" applyNumberFormat="1" applyFont="1" applyFill="1" applyBorder="1" applyAlignment="1">
      <alignment wrapText="1"/>
    </xf>
    <xf numFmtId="37" fontId="5" fillId="0" borderId="19" xfId="0" applyNumberFormat="1" applyFont="1" applyFill="1" applyBorder="1" applyAlignment="1"/>
    <xf numFmtId="37" fontId="0" fillId="0" borderId="15" xfId="0" applyNumberFormat="1" applyFont="1" applyBorder="1"/>
    <xf numFmtId="9" fontId="5" fillId="0" borderId="0" xfId="2" applyFont="1" applyFill="1" applyBorder="1" applyAlignment="1">
      <alignment horizontal="center"/>
    </xf>
    <xf numFmtId="38" fontId="5" fillId="0" borderId="17" xfId="0" applyNumberFormat="1" applyFont="1" applyFill="1" applyBorder="1" applyAlignment="1"/>
    <xf numFmtId="38" fontId="5" fillId="0" borderId="23" xfId="0" applyNumberFormat="1" applyFont="1" applyFill="1" applyBorder="1" applyAlignment="1"/>
    <xf numFmtId="37" fontId="5" fillId="0" borderId="23" xfId="0" applyNumberFormat="1" applyFont="1" applyFill="1" applyBorder="1" applyAlignment="1"/>
    <xf numFmtId="37" fontId="5" fillId="0" borderId="24" xfId="0" applyNumberFormat="1" applyFont="1" applyFill="1" applyBorder="1" applyAlignment="1"/>
    <xf numFmtId="37" fontId="5" fillId="0" borderId="25" xfId="0" applyNumberFormat="1" applyFont="1" applyFill="1" applyBorder="1" applyAlignment="1"/>
    <xf numFmtId="0" fontId="0" fillId="3" borderId="0" xfId="0" applyFont="1" applyFill="1" applyBorder="1" applyAlignment="1"/>
    <xf numFmtId="38" fontId="5" fillId="3" borderId="0" xfId="0" applyNumberFormat="1" applyFont="1" applyFill="1" applyBorder="1" applyAlignment="1"/>
    <xf numFmtId="37" fontId="12" fillId="3" borderId="27" xfId="0" applyNumberFormat="1" applyFont="1" applyFill="1" applyBorder="1" applyAlignment="1"/>
    <xf numFmtId="37" fontId="12" fillId="3" borderId="28" xfId="0" applyNumberFormat="1" applyFont="1" applyFill="1" applyBorder="1" applyAlignment="1"/>
    <xf numFmtId="37" fontId="12" fillId="3" borderId="26" xfId="0" applyNumberFormat="1" applyFont="1" applyFill="1" applyBorder="1" applyAlignment="1"/>
    <xf numFmtId="0" fontId="0" fillId="0" borderId="17" xfId="0" applyFont="1" applyFill="1" applyBorder="1" applyAlignment="1"/>
    <xf numFmtId="38" fontId="5" fillId="0" borderId="18" xfId="0" applyNumberFormat="1" applyFont="1" applyFill="1" applyBorder="1" applyAlignment="1"/>
    <xf numFmtId="38" fontId="5" fillId="0" borderId="19" xfId="0" applyNumberFormat="1" applyFont="1" applyFill="1" applyBorder="1" applyAlignment="1"/>
    <xf numFmtId="0" fontId="0" fillId="0" borderId="0" xfId="0" applyFont="1" applyFill="1"/>
    <xf numFmtId="38" fontId="5" fillId="0" borderId="21" xfId="0" applyNumberFormat="1" applyFont="1" applyFill="1" applyBorder="1" applyAlignment="1"/>
    <xf numFmtId="38" fontId="5" fillId="0" borderId="21" xfId="0" applyNumberFormat="1" applyFont="1" applyFill="1" applyBorder="1"/>
    <xf numFmtId="38" fontId="5" fillId="0" borderId="22" xfId="0" applyNumberFormat="1" applyFont="1" applyFill="1" applyBorder="1"/>
    <xf numFmtId="0" fontId="0" fillId="0" borderId="17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37" fontId="9" fillId="0" borderId="0" xfId="3" applyNumberFormat="1" applyFont="1"/>
    <xf numFmtId="37" fontId="13" fillId="0" borderId="0" xfId="3" applyNumberFormat="1" applyFont="1"/>
    <xf numFmtId="37" fontId="13" fillId="0" borderId="0" xfId="3" applyNumberFormat="1" applyFont="1" applyAlignment="1">
      <alignment horizontal="left"/>
    </xf>
    <xf numFmtId="37" fontId="9" fillId="0" borderId="0" xfId="3" applyNumberFormat="1" applyFont="1" applyAlignment="1">
      <alignment horizontal="center"/>
    </xf>
    <xf numFmtId="37" fontId="14" fillId="0" borderId="0" xfId="3" applyNumberFormat="1" applyFont="1" applyFill="1"/>
    <xf numFmtId="37" fontId="9" fillId="0" borderId="0" xfId="3" applyNumberFormat="1" applyFont="1" applyAlignment="1" applyProtection="1">
      <alignment horizontal="center"/>
    </xf>
    <xf numFmtId="37" fontId="9" fillId="0" borderId="0" xfId="3" applyNumberFormat="1" applyFont="1" applyFill="1"/>
    <xf numFmtId="37" fontId="15" fillId="0" borderId="0" xfId="3" applyNumberFormat="1" applyFont="1" applyAlignment="1">
      <alignment horizontal="left"/>
    </xf>
    <xf numFmtId="37" fontId="13" fillId="0" borderId="0" xfId="3" applyFont="1"/>
    <xf numFmtId="37" fontId="9" fillId="0" borderId="0" xfId="3" applyNumberFormat="1" applyFont="1" applyAlignment="1">
      <alignment horizontal="left"/>
    </xf>
    <xf numFmtId="37" fontId="15" fillId="0" borderId="0" xfId="3" applyNumberFormat="1" applyFont="1"/>
    <xf numFmtId="37" fontId="16" fillId="0" borderId="0" xfId="3" applyNumberFormat="1" applyFont="1" applyFill="1" applyAlignment="1">
      <alignment horizontal="center"/>
    </xf>
    <xf numFmtId="37" fontId="16" fillId="0" borderId="0" xfId="3" applyNumberFormat="1" applyFont="1" applyAlignment="1">
      <alignment horizontal="center"/>
    </xf>
    <xf numFmtId="37" fontId="16" fillId="0" borderId="0" xfId="3" applyNumberFormat="1" applyFont="1"/>
    <xf numFmtId="37" fontId="16" fillId="0" borderId="0" xfId="3" applyNumberFormat="1" applyFont="1" applyAlignment="1">
      <alignment horizontal="right" vertical="justify"/>
    </xf>
    <xf numFmtId="37" fontId="17" fillId="0" borderId="0" xfId="3" applyNumberFormat="1" applyFont="1" applyFill="1"/>
    <xf numFmtId="37" fontId="11" fillId="0" borderId="0" xfId="3" applyNumberFormat="1" applyFont="1" applyFill="1"/>
    <xf numFmtId="37" fontId="11" fillId="0" borderId="0" xfId="3" applyNumberFormat="1" applyFont="1" applyAlignment="1">
      <alignment horizontal="left"/>
    </xf>
    <xf numFmtId="37" fontId="11" fillId="0" borderId="0" xfId="3" applyNumberFormat="1" applyFont="1"/>
    <xf numFmtId="37" fontId="17" fillId="0" borderId="0" xfId="3" applyNumberFormat="1" applyFont="1"/>
    <xf numFmtId="37" fontId="18" fillId="0" borderId="0" xfId="3" applyNumberFormat="1" applyFont="1" applyFill="1"/>
    <xf numFmtId="37" fontId="17" fillId="0" borderId="17" xfId="3" applyNumberFormat="1" applyFont="1" applyBorder="1"/>
    <xf numFmtId="37" fontId="19" fillId="0" borderId="0" xfId="3" applyNumberFormat="1" applyFont="1"/>
    <xf numFmtId="37" fontId="9" fillId="0" borderId="31" xfId="3" applyNumberFormat="1" applyFont="1" applyBorder="1"/>
    <xf numFmtId="37" fontId="13" fillId="0" borderId="31" xfId="3" applyNumberFormat="1" applyFont="1" applyBorder="1" applyAlignment="1">
      <alignment horizontal="right"/>
    </xf>
    <xf numFmtId="37" fontId="17" fillId="0" borderId="31" xfId="3" applyNumberFormat="1" applyFont="1" applyBorder="1" applyAlignment="1">
      <alignment horizontal="right"/>
    </xf>
    <xf numFmtId="37" fontId="11" fillId="0" borderId="31" xfId="3" applyNumberFormat="1" applyFont="1" applyBorder="1" applyAlignment="1">
      <alignment horizontal="right"/>
    </xf>
    <xf numFmtId="37" fontId="13" fillId="0" borderId="31" xfId="3" applyNumberFormat="1" applyFont="1" applyBorder="1"/>
    <xf numFmtId="37" fontId="20" fillId="0" borderId="31" xfId="3" applyNumberFormat="1" applyFont="1" applyBorder="1"/>
    <xf numFmtId="37" fontId="19" fillId="0" borderId="31" xfId="3" applyNumberFormat="1" applyFont="1" applyBorder="1"/>
    <xf numFmtId="37" fontId="11" fillId="0" borderId="31" xfId="3" applyNumberFormat="1" applyFont="1" applyBorder="1" applyAlignment="1">
      <alignment horizontal="left"/>
    </xf>
    <xf numFmtId="37" fontId="11" fillId="0" borderId="31" xfId="3" applyNumberFormat="1" applyFont="1" applyBorder="1"/>
    <xf numFmtId="37" fontId="21" fillId="0" borderId="0" xfId="3" applyNumberFormat="1" applyFont="1" applyAlignment="1">
      <alignment horizontal="center"/>
    </xf>
    <xf numFmtId="37" fontId="13" fillId="0" borderId="0" xfId="3" applyNumberFormat="1" applyFont="1" applyFill="1"/>
    <xf numFmtId="37" fontId="22" fillId="0" borderId="0" xfId="3" applyNumberFormat="1" applyFont="1" applyAlignment="1">
      <alignment horizontal="left"/>
    </xf>
    <xf numFmtId="37" fontId="9" fillId="0" borderId="0" xfId="3" quotePrefix="1" applyNumberFormat="1" applyFont="1" applyAlignment="1">
      <alignment horizontal="left"/>
    </xf>
    <xf numFmtId="37" fontId="16" fillId="0" borderId="0" xfId="3" applyNumberFormat="1" applyFont="1" applyAlignment="1">
      <alignment horizontal="left"/>
    </xf>
    <xf numFmtId="37" fontId="9" fillId="0" borderId="0" xfId="3" applyFont="1"/>
    <xf numFmtId="37" fontId="11" fillId="0" borderId="0" xfId="3" applyNumberFormat="1" applyFont="1" applyFill="1" applyAlignment="1">
      <alignment horizontal="left"/>
    </xf>
    <xf numFmtId="37" fontId="20" fillId="0" borderId="0" xfId="3" applyNumberFormat="1" applyFont="1"/>
    <xf numFmtId="37" fontId="20" fillId="0" borderId="17" xfId="3" applyNumberFormat="1" applyFont="1" applyBorder="1"/>
    <xf numFmtId="37" fontId="17" fillId="0" borderId="0" xfId="3" applyNumberFormat="1" applyFont="1" applyBorder="1" applyAlignment="1">
      <alignment horizontal="left"/>
    </xf>
    <xf numFmtId="37" fontId="17" fillId="0" borderId="0" xfId="3" applyNumberFormat="1" applyFont="1" applyBorder="1"/>
    <xf numFmtId="37" fontId="20" fillId="0" borderId="27" xfId="3" applyNumberFormat="1" applyFont="1" applyBorder="1"/>
    <xf numFmtId="37" fontId="23" fillId="0" borderId="0" xfId="3" applyNumberFormat="1" applyFont="1" applyFill="1"/>
    <xf numFmtId="0" fontId="0" fillId="0" borderId="0" xfId="0" applyFont="1" applyBorder="1"/>
    <xf numFmtId="49" fontId="13" fillId="0" borderId="0" xfId="0" applyNumberFormat="1" applyFont="1" applyBorder="1" applyAlignment="1">
      <alignment horizontal="left"/>
    </xf>
    <xf numFmtId="9" fontId="0" fillId="0" borderId="0" xfId="2" applyFont="1" applyFill="1" applyBorder="1" applyAlignment="1">
      <alignment wrapText="1"/>
    </xf>
    <xf numFmtId="38" fontId="0" fillId="0" borderId="0" xfId="0" applyNumberFormat="1" applyFont="1"/>
    <xf numFmtId="0" fontId="5" fillId="0" borderId="35" xfId="0" applyFont="1" applyFill="1" applyBorder="1" applyAlignment="1">
      <alignment horizontal="center"/>
    </xf>
    <xf numFmtId="0" fontId="0" fillId="0" borderId="32" xfId="0" applyFont="1" applyBorder="1"/>
    <xf numFmtId="0" fontId="0" fillId="0" borderId="33" xfId="0" applyFont="1" applyFill="1" applyBorder="1" applyAlignment="1"/>
    <xf numFmtId="0" fontId="4" fillId="0" borderId="33" xfId="0" applyFont="1" applyFill="1" applyBorder="1" applyAlignment="1"/>
    <xf numFmtId="0" fontId="4" fillId="3" borderId="33" xfId="0" applyFont="1" applyFill="1" applyBorder="1" applyAlignment="1"/>
    <xf numFmtId="0" fontId="4" fillId="0" borderId="34" xfId="0" applyFont="1" applyFill="1" applyBorder="1" applyAlignment="1"/>
    <xf numFmtId="0" fontId="0" fillId="0" borderId="11" xfId="0" applyFont="1" applyFill="1" applyBorder="1" applyAlignment="1"/>
    <xf numFmtId="38" fontId="5" fillId="0" borderId="11" xfId="0" applyNumberFormat="1" applyFont="1" applyFill="1" applyBorder="1" applyAlignment="1"/>
    <xf numFmtId="49" fontId="13" fillId="0" borderId="0" xfId="0" applyNumberFormat="1" applyFont="1" applyBorder="1" applyAlignment="1">
      <alignment horizontal="left" vertical="top"/>
    </xf>
    <xf numFmtId="0" fontId="24" fillId="0" borderId="0" xfId="0" applyFont="1"/>
    <xf numFmtId="0" fontId="10" fillId="0" borderId="13" xfId="0" applyFont="1" applyBorder="1" applyAlignment="1"/>
    <xf numFmtId="0" fontId="10" fillId="0" borderId="14" xfId="0" applyFont="1" applyBorder="1" applyAlignment="1"/>
    <xf numFmtId="49" fontId="25" fillId="0" borderId="0" xfId="0" applyNumberFormat="1" applyFont="1" applyAlignment="1">
      <alignment horizontal="left"/>
    </xf>
    <xf numFmtId="0" fontId="26" fillId="0" borderId="15" xfId="0" applyFont="1" applyBorder="1"/>
    <xf numFmtId="0" fontId="24" fillId="0" borderId="16" xfId="0" applyFont="1" applyBorder="1"/>
    <xf numFmtId="49" fontId="25" fillId="0" borderId="0" xfId="0" applyNumberFormat="1" applyFont="1" applyBorder="1" applyAlignment="1">
      <alignment horizontal="left"/>
    </xf>
    <xf numFmtId="37" fontId="27" fillId="0" borderId="0" xfId="0" applyNumberFormat="1" applyFont="1" applyFill="1" applyBorder="1" applyAlignment="1"/>
    <xf numFmtId="0" fontId="24" fillId="0" borderId="21" xfId="0" applyFont="1" applyBorder="1"/>
    <xf numFmtId="0" fontId="27" fillId="0" borderId="12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 wrapText="1"/>
    </xf>
    <xf numFmtId="0" fontId="24" fillId="0" borderId="15" xfId="0" applyFont="1" applyBorder="1"/>
    <xf numFmtId="0" fontId="27" fillId="0" borderId="13" xfId="0" applyFont="1" applyFill="1" applyBorder="1" applyAlignment="1">
      <alignment horizontal="center" wrapText="1"/>
    </xf>
    <xf numFmtId="0" fontId="27" fillId="0" borderId="3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4" fillId="0" borderId="17" xfId="0" applyFont="1" applyBorder="1"/>
    <xf numFmtId="0" fontId="24" fillId="0" borderId="0" xfId="0" applyFont="1" applyFill="1" applyBorder="1" applyAlignment="1"/>
    <xf numFmtId="38" fontId="24" fillId="0" borderId="0" xfId="0" applyNumberFormat="1" applyFont="1" applyFill="1" applyBorder="1" applyAlignment="1"/>
    <xf numFmtId="37" fontId="27" fillId="0" borderId="13" xfId="0" applyNumberFormat="1" applyFont="1" applyFill="1" applyBorder="1" applyAlignment="1"/>
    <xf numFmtId="37" fontId="27" fillId="0" borderId="13" xfId="0" applyNumberFormat="1" applyFont="1" applyFill="1" applyBorder="1" applyAlignment="1">
      <alignment wrapText="1"/>
    </xf>
    <xf numFmtId="37" fontId="27" fillId="0" borderId="14" xfId="0" applyNumberFormat="1" applyFont="1" applyFill="1" applyBorder="1" applyAlignment="1"/>
    <xf numFmtId="37" fontId="27" fillId="0" borderId="15" xfId="0" applyNumberFormat="1" applyFont="1" applyFill="1" applyBorder="1" applyAlignment="1"/>
    <xf numFmtId="37" fontId="27" fillId="0" borderId="16" xfId="0" applyNumberFormat="1" applyFont="1" applyFill="1" applyBorder="1" applyAlignment="1"/>
    <xf numFmtId="0" fontId="28" fillId="0" borderId="0" xfId="0" applyFont="1" applyFill="1" applyBorder="1" applyAlignment="1">
      <alignment wrapText="1"/>
    </xf>
    <xf numFmtId="9" fontId="24" fillId="0" borderId="0" xfId="2" applyFont="1" applyFill="1" applyBorder="1" applyAlignment="1">
      <alignment wrapText="1"/>
    </xf>
    <xf numFmtId="0" fontId="25" fillId="0" borderId="0" xfId="0" applyFont="1"/>
    <xf numFmtId="9" fontId="24" fillId="0" borderId="0" xfId="2" applyFont="1" applyFill="1" applyBorder="1" applyAlignment="1"/>
    <xf numFmtId="9" fontId="24" fillId="0" borderId="0" xfId="2" applyFont="1"/>
    <xf numFmtId="0" fontId="25" fillId="0" borderId="0" xfId="0" applyFont="1" applyFill="1" applyBorder="1" applyAlignment="1">
      <alignment wrapText="1"/>
    </xf>
    <xf numFmtId="38" fontId="24" fillId="0" borderId="17" xfId="0" applyNumberFormat="1" applyFont="1" applyFill="1" applyBorder="1" applyAlignment="1"/>
    <xf numFmtId="37" fontId="27" fillId="0" borderId="17" xfId="0" applyNumberFormat="1" applyFont="1" applyFill="1" applyBorder="1" applyAlignment="1"/>
    <xf numFmtId="37" fontId="27" fillId="0" borderId="18" xfId="0" applyNumberFormat="1" applyFont="1" applyFill="1" applyBorder="1" applyAlignment="1"/>
    <xf numFmtId="37" fontId="27" fillId="0" borderId="18" xfId="0" applyNumberFormat="1" applyFont="1" applyFill="1" applyBorder="1" applyAlignment="1">
      <alignment wrapText="1"/>
    </xf>
    <xf numFmtId="37" fontId="27" fillId="0" borderId="19" xfId="0" applyNumberFormat="1" applyFont="1" applyFill="1" applyBorder="1" applyAlignment="1"/>
    <xf numFmtId="0" fontId="25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/>
    <xf numFmtId="38" fontId="27" fillId="0" borderId="0" xfId="0" applyNumberFormat="1" applyFont="1" applyFill="1" applyBorder="1" applyAlignment="1"/>
    <xf numFmtId="38" fontId="27" fillId="0" borderId="15" xfId="0" applyNumberFormat="1" applyFont="1" applyFill="1" applyBorder="1" applyAlignment="1"/>
    <xf numFmtId="38" fontId="27" fillId="0" borderId="16" xfId="0" applyNumberFormat="1" applyFont="1" applyFill="1" applyBorder="1" applyAlignment="1"/>
    <xf numFmtId="0" fontId="24" fillId="0" borderId="0" xfId="0" applyFont="1" applyFill="1" applyBorder="1" applyAlignment="1">
      <alignment wrapText="1"/>
    </xf>
    <xf numFmtId="38" fontId="24" fillId="0" borderId="15" xfId="0" applyNumberFormat="1" applyFont="1" applyBorder="1"/>
    <xf numFmtId="38" fontId="27" fillId="0" borderId="17" xfId="0" applyNumberFormat="1" applyFont="1" applyFill="1" applyBorder="1" applyAlignment="1"/>
    <xf numFmtId="38" fontId="27" fillId="0" borderId="18" xfId="0" applyNumberFormat="1" applyFont="1" applyFill="1" applyBorder="1" applyAlignment="1"/>
    <xf numFmtId="38" fontId="27" fillId="0" borderId="19" xfId="0" applyNumberFormat="1" applyFont="1" applyFill="1" applyBorder="1" applyAlignment="1"/>
    <xf numFmtId="9" fontId="27" fillId="0" borderId="0" xfId="2" applyFont="1" applyFill="1" applyBorder="1" applyAlignment="1">
      <alignment horizontal="center"/>
    </xf>
    <xf numFmtId="38" fontId="27" fillId="0" borderId="23" xfId="0" applyNumberFormat="1" applyFont="1" applyFill="1" applyBorder="1" applyAlignment="1"/>
    <xf numFmtId="38" fontId="27" fillId="0" borderId="24" xfId="0" applyNumberFormat="1" applyFont="1" applyFill="1" applyBorder="1" applyAlignment="1"/>
    <xf numFmtId="38" fontId="27" fillId="0" borderId="25" xfId="0" applyNumberFormat="1" applyFont="1" applyFill="1" applyBorder="1" applyAlignment="1"/>
    <xf numFmtId="0" fontId="10" fillId="3" borderId="0" xfId="0" applyFont="1" applyFill="1" applyBorder="1" applyAlignment="1"/>
    <xf numFmtId="0" fontId="24" fillId="3" borderId="0" xfId="0" applyFont="1" applyFill="1" applyBorder="1" applyAlignment="1"/>
    <xf numFmtId="38" fontId="27" fillId="3" borderId="0" xfId="0" applyNumberFormat="1" applyFont="1" applyFill="1" applyBorder="1" applyAlignment="1"/>
    <xf numFmtId="37" fontId="29" fillId="3" borderId="27" xfId="0" applyNumberFormat="1" applyFont="1" applyFill="1" applyBorder="1" applyAlignment="1"/>
    <xf numFmtId="37" fontId="29" fillId="3" borderId="28" xfId="0" applyNumberFormat="1" applyFont="1" applyFill="1" applyBorder="1" applyAlignment="1"/>
    <xf numFmtId="37" fontId="29" fillId="3" borderId="26" xfId="0" applyNumberFormat="1" applyFont="1" applyFill="1" applyBorder="1" applyAlignment="1"/>
    <xf numFmtId="9" fontId="24" fillId="0" borderId="0" xfId="2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38" fontId="27" fillId="0" borderId="21" xfId="0" applyNumberFormat="1" applyFont="1" applyFill="1" applyBorder="1" applyAlignment="1"/>
    <xf numFmtId="38" fontId="27" fillId="0" borderId="21" xfId="0" applyNumberFormat="1" applyFont="1" applyBorder="1"/>
    <xf numFmtId="38" fontId="27" fillId="0" borderId="22" xfId="0" applyNumberFormat="1" applyFont="1" applyBorder="1"/>
    <xf numFmtId="0" fontId="10" fillId="0" borderId="0" xfId="0" applyFont="1" applyBorder="1" applyAlignment="1"/>
    <xf numFmtId="0" fontId="26" fillId="0" borderId="0" xfId="0" applyFont="1" applyBorder="1"/>
    <xf numFmtId="0" fontId="26" fillId="0" borderId="21" xfId="0" applyFont="1" applyBorder="1"/>
    <xf numFmtId="0" fontId="24" fillId="0" borderId="22" xfId="0" applyFont="1" applyBorder="1"/>
    <xf numFmtId="0" fontId="27" fillId="0" borderId="29" xfId="0" applyFont="1" applyFill="1" applyBorder="1" applyAlignment="1">
      <alignment horizontal="right" wrapText="1"/>
    </xf>
    <xf numFmtId="37" fontId="27" fillId="0" borderId="15" xfId="0" applyNumberFormat="1" applyFont="1" applyFill="1" applyBorder="1" applyAlignment="1">
      <alignment wrapText="1"/>
    </xf>
    <xf numFmtId="10" fontId="24" fillId="0" borderId="0" xfId="2" applyNumberFormat="1" applyFont="1" applyFill="1" applyBorder="1" applyAlignment="1">
      <alignment horizontal="left" wrapText="1"/>
    </xf>
    <xf numFmtId="37" fontId="27" fillId="0" borderId="23" xfId="0" applyNumberFormat="1" applyFont="1" applyFill="1" applyBorder="1" applyAlignment="1"/>
    <xf numFmtId="0" fontId="24" fillId="0" borderId="0" xfId="0" applyFont="1" applyBorder="1"/>
    <xf numFmtId="38" fontId="24" fillId="0" borderId="0" xfId="0" applyNumberFormat="1" applyFont="1"/>
    <xf numFmtId="0" fontId="24" fillId="0" borderId="29" xfId="0" applyFont="1" applyBorder="1"/>
    <xf numFmtId="0" fontId="27" fillId="0" borderId="29" xfId="0" applyFont="1" applyFill="1" applyBorder="1" applyAlignment="1">
      <alignment horizontal="center" wrapText="1"/>
    </xf>
    <xf numFmtId="9" fontId="28" fillId="0" borderId="0" xfId="2" applyFont="1" applyFill="1" applyBorder="1" applyAlignment="1">
      <alignment wrapText="1"/>
    </xf>
    <xf numFmtId="0" fontId="28" fillId="0" borderId="0" xfId="0" applyFont="1"/>
    <xf numFmtId="37" fontId="24" fillId="0" borderId="15" xfId="0" applyNumberFormat="1" applyFont="1" applyBorder="1"/>
    <xf numFmtId="9" fontId="24" fillId="0" borderId="0" xfId="2" applyNumberFormat="1" applyFont="1"/>
    <xf numFmtId="37" fontId="27" fillId="0" borderId="24" xfId="0" applyNumberFormat="1" applyFont="1" applyFill="1" applyBorder="1" applyAlignment="1"/>
    <xf numFmtId="37" fontId="27" fillId="0" borderId="25" xfId="0" applyNumberFormat="1" applyFont="1" applyFill="1" applyBorder="1" applyAlignment="1"/>
    <xf numFmtId="0" fontId="24" fillId="0" borderId="17" xfId="0" applyFont="1" applyFill="1" applyBorder="1" applyAlignment="1"/>
    <xf numFmtId="37" fontId="24" fillId="0" borderId="0" xfId="0" applyNumberFormat="1" applyFont="1" applyFill="1" applyBorder="1" applyAlignment="1"/>
    <xf numFmtId="49" fontId="24" fillId="0" borderId="0" xfId="0" applyNumberFormat="1" applyFont="1" applyAlignment="1">
      <alignment horizontal="left"/>
    </xf>
    <xf numFmtId="10" fontId="24" fillId="0" borderId="0" xfId="2" applyNumberFormat="1" applyFont="1" applyAlignment="1">
      <alignment horizontal="left"/>
    </xf>
    <xf numFmtId="0" fontId="27" fillId="0" borderId="14" xfId="0" applyFont="1" applyFill="1" applyBorder="1" applyAlignment="1">
      <alignment horizontal="center"/>
    </xf>
    <xf numFmtId="37" fontId="24" fillId="0" borderId="14" xfId="0" applyNumberFormat="1" applyFont="1" applyBorder="1"/>
    <xf numFmtId="37" fontId="24" fillId="0" borderId="16" xfId="0" applyNumberFormat="1" applyFont="1" applyBorder="1"/>
    <xf numFmtId="10" fontId="24" fillId="0" borderId="0" xfId="2" applyNumberFormat="1" applyFont="1" applyFill="1" applyBorder="1" applyAlignment="1">
      <alignment wrapText="1"/>
    </xf>
    <xf numFmtId="37" fontId="24" fillId="0" borderId="19" xfId="0" applyNumberFormat="1" applyFont="1" applyBorder="1"/>
    <xf numFmtId="0" fontId="24" fillId="0" borderId="13" xfId="0" applyFont="1" applyBorder="1"/>
    <xf numFmtId="0" fontId="24" fillId="0" borderId="14" xfId="0" applyFont="1" applyBorder="1"/>
    <xf numFmtId="2" fontId="28" fillId="0" borderId="0" xfId="0" applyNumberFormat="1" applyFont="1"/>
    <xf numFmtId="37" fontId="27" fillId="0" borderId="15" xfId="0" applyNumberFormat="1" applyFont="1" applyBorder="1"/>
    <xf numFmtId="37" fontId="27" fillId="0" borderId="16" xfId="0" applyNumberFormat="1" applyFont="1" applyBorder="1"/>
    <xf numFmtId="38" fontId="27" fillId="0" borderId="15" xfId="1" applyNumberFormat="1" applyFont="1" applyBorder="1" applyAlignment="1"/>
    <xf numFmtId="38" fontId="27" fillId="0" borderId="15" xfId="0" applyNumberFormat="1" applyFont="1" applyBorder="1" applyAlignment="1"/>
    <xf numFmtId="38" fontId="27" fillId="0" borderId="0" xfId="0" applyNumberFormat="1" applyFont="1" applyFill="1" applyBorder="1" applyAlignment="1">
      <alignment horizontal="center"/>
    </xf>
    <xf numFmtId="38" fontId="27" fillId="0" borderId="15" xfId="1" applyNumberFormat="1" applyFont="1" applyBorder="1"/>
    <xf numFmtId="38" fontId="27" fillId="0" borderId="15" xfId="0" applyNumberFormat="1" applyFont="1" applyBorder="1"/>
    <xf numFmtId="38" fontId="27" fillId="0" borderId="16" xfId="0" applyNumberFormat="1" applyFont="1" applyFill="1" applyBorder="1" applyAlignment="1">
      <alignment horizontal="center"/>
    </xf>
    <xf numFmtId="38" fontId="27" fillId="0" borderId="16" xfId="1" applyNumberFormat="1" applyFont="1" applyBorder="1"/>
    <xf numFmtId="9" fontId="24" fillId="0" borderId="0" xfId="2" applyNumberFormat="1" applyFont="1" applyAlignment="1">
      <alignment horizontal="left"/>
    </xf>
    <xf numFmtId="0" fontId="27" fillId="0" borderId="15" xfId="0" applyFont="1" applyBorder="1"/>
    <xf numFmtId="38" fontId="27" fillId="0" borderId="16" xfId="0" applyNumberFormat="1" applyFont="1" applyBorder="1"/>
    <xf numFmtId="0" fontId="27" fillId="0" borderId="13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37" fontId="27" fillId="0" borderId="13" xfId="0" applyNumberFormat="1" applyFont="1" applyBorder="1"/>
    <xf numFmtId="37" fontId="27" fillId="0" borderId="14" xfId="0" applyNumberFormat="1" applyFont="1" applyBorder="1"/>
    <xf numFmtId="1" fontId="24" fillId="0" borderId="0" xfId="0" applyNumberFormat="1" applyFont="1"/>
    <xf numFmtId="37" fontId="27" fillId="0" borderId="18" xfId="0" applyNumberFormat="1" applyFont="1" applyBorder="1"/>
    <xf numFmtId="37" fontId="27" fillId="0" borderId="19" xfId="0" applyNumberFormat="1" applyFont="1" applyBorder="1"/>
    <xf numFmtId="37" fontId="27" fillId="0" borderId="15" xfId="0" applyNumberFormat="1" applyFont="1" applyBorder="1" applyAlignment="1"/>
    <xf numFmtId="37" fontId="27" fillId="0" borderId="16" xfId="0" applyNumberFormat="1" applyFont="1" applyBorder="1" applyAlignment="1"/>
    <xf numFmtId="38" fontId="27" fillId="0" borderId="16" xfId="0" applyNumberFormat="1" applyFont="1" applyBorder="1" applyAlignment="1"/>
    <xf numFmtId="38" fontId="27" fillId="0" borderId="18" xfId="0" applyNumberFormat="1" applyFont="1" applyBorder="1" applyAlignment="1"/>
    <xf numFmtId="38" fontId="27" fillId="0" borderId="19" xfId="0" applyNumberFormat="1" applyFont="1" applyBorder="1" applyAlignment="1"/>
    <xf numFmtId="0" fontId="10" fillId="3" borderId="27" xfId="0" applyFont="1" applyFill="1" applyBorder="1" applyAlignment="1"/>
    <xf numFmtId="0" fontId="24" fillId="3" borderId="27" xfId="0" applyFont="1" applyFill="1" applyBorder="1" applyAlignment="1"/>
    <xf numFmtId="38" fontId="27" fillId="3" borderId="27" xfId="0" applyNumberFormat="1" applyFont="1" applyFill="1" applyBorder="1" applyAlignment="1"/>
    <xf numFmtId="38" fontId="27" fillId="0" borderId="18" xfId="0" applyNumberFormat="1" applyFont="1" applyBorder="1"/>
    <xf numFmtId="38" fontId="27" fillId="0" borderId="19" xfId="0" applyNumberFormat="1" applyFont="1" applyBorder="1"/>
    <xf numFmtId="37" fontId="27" fillId="0" borderId="0" xfId="0" applyNumberFormat="1" applyFont="1" applyBorder="1"/>
    <xf numFmtId="38" fontId="27" fillId="0" borderId="0" xfId="0" applyNumberFormat="1" applyFont="1" applyBorder="1"/>
    <xf numFmtId="37" fontId="27" fillId="0" borderId="17" xfId="0" applyNumberFormat="1" applyFont="1" applyBorder="1"/>
    <xf numFmtId="0" fontId="24" fillId="0" borderId="0" xfId="0" applyFont="1" applyFill="1" applyBorder="1" applyAlignment="1">
      <alignment horizontal="center" wrapText="1"/>
    </xf>
    <xf numFmtId="37" fontId="27" fillId="0" borderId="0" xfId="0" applyNumberFormat="1" applyFont="1" applyBorder="1" applyAlignment="1"/>
    <xf numFmtId="37" fontId="27" fillId="0" borderId="18" xfId="0" applyNumberFormat="1" applyFont="1" applyBorder="1" applyAlignment="1"/>
    <xf numFmtId="37" fontId="27" fillId="0" borderId="17" xfId="0" applyNumberFormat="1" applyFont="1" applyBorder="1" applyAlignment="1"/>
    <xf numFmtId="37" fontId="27" fillId="0" borderId="19" xfId="0" applyNumberFormat="1" applyFont="1" applyBorder="1" applyAlignment="1"/>
    <xf numFmtId="37" fontId="27" fillId="0" borderId="15" xfId="1" applyNumberFormat="1" applyFont="1" applyBorder="1" applyAlignment="1"/>
    <xf numFmtId="37" fontId="27" fillId="0" borderId="0" xfId="1" applyNumberFormat="1" applyFont="1" applyBorder="1" applyAlignment="1"/>
    <xf numFmtId="37" fontId="27" fillId="0" borderId="0" xfId="0" applyNumberFormat="1" applyFont="1" applyFill="1" applyBorder="1" applyAlignment="1">
      <alignment horizontal="center"/>
    </xf>
    <xf numFmtId="37" fontId="27" fillId="0" borderId="15" xfId="1" applyNumberFormat="1" applyFont="1" applyBorder="1"/>
    <xf numFmtId="37" fontId="27" fillId="0" borderId="0" xfId="1" applyNumberFormat="1" applyFont="1" applyBorder="1"/>
    <xf numFmtId="37" fontId="27" fillId="0" borderId="16" xfId="0" applyNumberFormat="1" applyFont="1" applyFill="1" applyBorder="1" applyAlignment="1">
      <alignment horizontal="center"/>
    </xf>
    <xf numFmtId="38" fontId="27" fillId="0" borderId="17" xfId="0" applyNumberFormat="1" applyFont="1" applyBorder="1"/>
    <xf numFmtId="38" fontId="27" fillId="0" borderId="0" xfId="1" applyNumberFormat="1" applyFont="1" applyBorder="1"/>
    <xf numFmtId="38" fontId="27" fillId="0" borderId="0" xfId="1" applyNumberFormat="1" applyFont="1" applyBorder="1" applyAlignment="1"/>
    <xf numFmtId="38" fontId="27" fillId="0" borderId="16" xfId="1" applyNumberFormat="1" applyFont="1" applyBorder="1" applyAlignment="1"/>
    <xf numFmtId="0" fontId="27" fillId="0" borderId="0" xfId="0" applyFont="1" applyBorder="1"/>
    <xf numFmtId="0" fontId="27" fillId="0" borderId="0" xfId="0" applyFont="1" applyFill="1" applyBorder="1" applyAlignment="1">
      <alignment horizontal="center" wrapText="1"/>
    </xf>
    <xf numFmtId="0" fontId="24" fillId="0" borderId="20" xfId="0" applyFont="1" applyFill="1" applyBorder="1" applyAlignment="1"/>
    <xf numFmtId="0" fontId="30" fillId="0" borderId="0" xfId="0" applyFont="1"/>
    <xf numFmtId="0" fontId="31" fillId="0" borderId="13" xfId="0" applyFont="1" applyBorder="1" applyAlignment="1"/>
    <xf numFmtId="0" fontId="31" fillId="0" borderId="14" xfId="0" applyFont="1" applyBorder="1" applyAlignment="1"/>
    <xf numFmtId="49" fontId="32" fillId="0" borderId="0" xfId="0" applyNumberFormat="1" applyFont="1" applyAlignment="1">
      <alignment horizontal="left"/>
    </xf>
    <xf numFmtId="0" fontId="33" fillId="0" borderId="15" xfId="0" applyFont="1" applyBorder="1"/>
    <xf numFmtId="0" fontId="30" fillId="0" borderId="16" xfId="0" applyFont="1" applyBorder="1"/>
    <xf numFmtId="0" fontId="30" fillId="0" borderId="0" xfId="0" applyFont="1" applyFill="1" applyBorder="1" applyAlignment="1">
      <alignment wrapText="1"/>
    </xf>
    <xf numFmtId="0" fontId="31" fillId="0" borderId="0" xfId="0" applyFont="1"/>
    <xf numFmtId="0" fontId="30" fillId="0" borderId="21" xfId="0" applyFont="1" applyBorder="1"/>
    <xf numFmtId="49" fontId="32" fillId="0" borderId="0" xfId="0" applyNumberFormat="1" applyFont="1" applyBorder="1" applyAlignment="1">
      <alignment horizontal="left"/>
    </xf>
    <xf numFmtId="0" fontId="34" fillId="0" borderId="12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 wrapText="1"/>
    </xf>
    <xf numFmtId="37" fontId="34" fillId="0" borderId="0" xfId="0" applyNumberFormat="1" applyFont="1" applyFill="1" applyBorder="1" applyAlignment="1"/>
    <xf numFmtId="0" fontId="30" fillId="0" borderId="15" xfId="0" applyFont="1" applyBorder="1"/>
    <xf numFmtId="0" fontId="34" fillId="0" borderId="29" xfId="0" applyFont="1" applyFill="1" applyBorder="1" applyAlignment="1">
      <alignment horizontal="center" wrapText="1"/>
    </xf>
    <xf numFmtId="0" fontId="34" fillId="0" borderId="3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0" fillId="0" borderId="17" xfId="0" applyFont="1" applyBorder="1"/>
    <xf numFmtId="0" fontId="31" fillId="0" borderId="17" xfId="0" applyFont="1" applyBorder="1"/>
    <xf numFmtId="0" fontId="30" fillId="0" borderId="0" xfId="0" applyFont="1" applyFill="1" applyBorder="1" applyAlignment="1"/>
    <xf numFmtId="0" fontId="34" fillId="0" borderId="0" xfId="0" applyFont="1" applyFill="1" applyBorder="1" applyAlignment="1">
      <alignment horizontal="center"/>
    </xf>
    <xf numFmtId="38" fontId="34" fillId="0" borderId="0" xfId="0" applyNumberFormat="1" applyFont="1" applyFill="1" applyBorder="1" applyAlignment="1"/>
    <xf numFmtId="37" fontId="34" fillId="0" borderId="15" xfId="0" applyNumberFormat="1" applyFont="1" applyFill="1" applyBorder="1" applyAlignment="1"/>
    <xf numFmtId="37" fontId="34" fillId="0" borderId="16" xfId="0" applyNumberFormat="1" applyFont="1" applyFill="1" applyBorder="1" applyAlignment="1"/>
    <xf numFmtId="9" fontId="30" fillId="0" borderId="0" xfId="2" applyFont="1"/>
    <xf numFmtId="9" fontId="31" fillId="0" borderId="0" xfId="2" applyFont="1"/>
    <xf numFmtId="38" fontId="34" fillId="0" borderId="17" xfId="0" applyNumberFormat="1" applyFont="1" applyFill="1" applyBorder="1" applyAlignment="1"/>
    <xf numFmtId="37" fontId="34" fillId="0" borderId="17" xfId="0" applyNumberFormat="1" applyFont="1" applyFill="1" applyBorder="1" applyAlignment="1"/>
    <xf numFmtId="37" fontId="34" fillId="0" borderId="18" xfId="0" applyNumberFormat="1" applyFont="1" applyFill="1" applyBorder="1" applyAlignment="1"/>
    <xf numFmtId="37" fontId="30" fillId="0" borderId="19" xfId="0" applyNumberFormat="1" applyFont="1" applyBorder="1"/>
    <xf numFmtId="0" fontId="31" fillId="0" borderId="0" xfId="0" applyFont="1" applyFill="1" applyBorder="1" applyAlignment="1"/>
    <xf numFmtId="38" fontId="34" fillId="0" borderId="15" xfId="0" applyNumberFormat="1" applyFont="1" applyFill="1" applyBorder="1" applyAlignment="1"/>
    <xf numFmtId="38" fontId="34" fillId="0" borderId="16" xfId="0" applyNumberFormat="1" applyFont="1" applyFill="1" applyBorder="1" applyAlignment="1"/>
    <xf numFmtId="9" fontId="34" fillId="0" borderId="0" xfId="2" applyFont="1" applyFill="1" applyBorder="1" applyAlignment="1">
      <alignment horizontal="center"/>
    </xf>
    <xf numFmtId="9" fontId="30" fillId="0" borderId="0" xfId="2" applyNumberFormat="1" applyFont="1"/>
    <xf numFmtId="38" fontId="34" fillId="0" borderId="18" xfId="0" applyNumberFormat="1" applyFont="1" applyFill="1" applyBorder="1" applyAlignment="1"/>
    <xf numFmtId="38" fontId="34" fillId="0" borderId="19" xfId="0" applyNumberFormat="1" applyFont="1" applyFill="1" applyBorder="1" applyAlignment="1"/>
    <xf numFmtId="38" fontId="34" fillId="0" borderId="23" xfId="0" applyNumberFormat="1" applyFont="1" applyFill="1" applyBorder="1" applyAlignment="1"/>
    <xf numFmtId="38" fontId="34" fillId="0" borderId="24" xfId="0" applyNumberFormat="1" applyFont="1" applyFill="1" applyBorder="1" applyAlignment="1"/>
    <xf numFmtId="38" fontId="34" fillId="0" borderId="25" xfId="0" applyNumberFormat="1" applyFont="1" applyFill="1" applyBorder="1" applyAlignment="1"/>
    <xf numFmtId="0" fontId="31" fillId="3" borderId="0" xfId="0" applyFont="1" applyFill="1" applyBorder="1" applyAlignment="1"/>
    <xf numFmtId="0" fontId="30" fillId="3" borderId="0" xfId="0" applyFont="1" applyFill="1" applyBorder="1" applyAlignment="1"/>
    <xf numFmtId="38" fontId="34" fillId="3" borderId="0" xfId="0" applyNumberFormat="1" applyFont="1" applyFill="1" applyBorder="1" applyAlignment="1"/>
    <xf numFmtId="37" fontId="35" fillId="3" borderId="27" xfId="0" applyNumberFormat="1" applyFont="1" applyFill="1" applyBorder="1" applyAlignment="1"/>
    <xf numFmtId="37" fontId="35" fillId="3" borderId="28" xfId="0" applyNumberFormat="1" applyFont="1" applyFill="1" applyBorder="1" applyAlignment="1"/>
    <xf numFmtId="37" fontId="35" fillId="3" borderId="26" xfId="0" applyNumberFormat="1" applyFont="1" applyFill="1" applyBorder="1" applyAlignment="1"/>
    <xf numFmtId="0" fontId="30" fillId="0" borderId="17" xfId="0" applyFont="1" applyFill="1" applyBorder="1" applyAlignment="1"/>
    <xf numFmtId="49" fontId="30" fillId="0" borderId="0" xfId="0" applyNumberFormat="1" applyFont="1" applyAlignment="1">
      <alignment horizontal="left"/>
    </xf>
    <xf numFmtId="9" fontId="30" fillId="0" borderId="0" xfId="2" applyFont="1" applyFill="1" applyBorder="1" applyAlignment="1">
      <alignment horizontal="left" wrapText="1"/>
    </xf>
    <xf numFmtId="38" fontId="30" fillId="0" borderId="0" xfId="0" applyNumberFormat="1" applyFont="1" applyFill="1" applyBorder="1" applyAlignment="1"/>
    <xf numFmtId="38" fontId="34" fillId="0" borderId="0" xfId="0" applyNumberFormat="1" applyFont="1" applyBorder="1"/>
    <xf numFmtId="10" fontId="30" fillId="0" borderId="0" xfId="2" applyNumberFormat="1" applyFont="1" applyAlignment="1">
      <alignment horizontal="left"/>
    </xf>
    <xf numFmtId="38" fontId="34" fillId="0" borderId="21" xfId="0" applyNumberFormat="1" applyFont="1" applyBorder="1"/>
    <xf numFmtId="38" fontId="34" fillId="0" borderId="22" xfId="0" applyNumberFormat="1" applyFont="1" applyBorder="1"/>
    <xf numFmtId="38" fontId="30" fillId="0" borderId="0" xfId="0" applyNumberFormat="1" applyFont="1"/>
    <xf numFmtId="0" fontId="34" fillId="0" borderId="0" xfId="0" applyFont="1" applyFill="1" applyBorder="1" applyAlignment="1">
      <alignment horizontal="center" wrapText="1"/>
    </xf>
    <xf numFmtId="0" fontId="34" fillId="0" borderId="13" xfId="0" applyFont="1" applyFill="1" applyBorder="1" applyAlignment="1">
      <alignment horizontal="center" wrapText="1"/>
    </xf>
    <xf numFmtId="0" fontId="34" fillId="0" borderId="1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37" fontId="34" fillId="0" borderId="13" xfId="0" applyNumberFormat="1" applyFont="1" applyBorder="1"/>
    <xf numFmtId="37" fontId="34" fillId="0" borderId="14" xfId="0" applyNumberFormat="1" applyFont="1" applyBorder="1"/>
    <xf numFmtId="9" fontId="34" fillId="0" borderId="0" xfId="2" applyFont="1" applyBorder="1"/>
    <xf numFmtId="37" fontId="34" fillId="0" borderId="15" xfId="0" applyNumberFormat="1" applyFont="1" applyBorder="1"/>
    <xf numFmtId="37" fontId="34" fillId="0" borderId="16" xfId="0" applyNumberFormat="1" applyFont="1" applyBorder="1"/>
    <xf numFmtId="37" fontId="34" fillId="0" borderId="18" xfId="0" applyNumberFormat="1" applyFont="1" applyBorder="1"/>
    <xf numFmtId="37" fontId="34" fillId="0" borderId="19" xfId="0" applyNumberFormat="1" applyFont="1" applyBorder="1"/>
    <xf numFmtId="37" fontId="34" fillId="0" borderId="15" xfId="0" applyNumberFormat="1" applyFont="1" applyBorder="1" applyAlignment="1"/>
    <xf numFmtId="38" fontId="34" fillId="0" borderId="18" xfId="0" applyNumberFormat="1" applyFont="1" applyBorder="1"/>
    <xf numFmtId="38" fontId="34" fillId="0" borderId="19" xfId="0" applyNumberFormat="1" applyFont="1" applyBorder="1"/>
    <xf numFmtId="38" fontId="34" fillId="0" borderId="15" xfId="0" applyNumberFormat="1" applyFont="1" applyBorder="1"/>
    <xf numFmtId="38" fontId="34" fillId="0" borderId="16" xfId="0" applyNumberFormat="1" applyFont="1" applyBorder="1"/>
    <xf numFmtId="0" fontId="31" fillId="3" borderId="27" xfId="0" applyFont="1" applyFill="1" applyBorder="1" applyAlignment="1"/>
    <xf numFmtId="0" fontId="30" fillId="3" borderId="27" xfId="0" applyFont="1" applyFill="1" applyBorder="1" applyAlignment="1"/>
    <xf numFmtId="38" fontId="34" fillId="3" borderId="27" xfId="0" applyNumberFormat="1" applyFont="1" applyFill="1" applyBorder="1" applyAlignment="1"/>
    <xf numFmtId="38" fontId="34" fillId="0" borderId="15" xfId="1" applyNumberFormat="1" applyFont="1" applyBorder="1"/>
    <xf numFmtId="38" fontId="34" fillId="0" borderId="16" xfId="1" applyNumberFormat="1" applyFont="1" applyBorder="1"/>
    <xf numFmtId="38" fontId="34" fillId="0" borderId="16" xfId="0" applyNumberFormat="1" applyFont="1" applyFill="1" applyBorder="1" applyAlignment="1">
      <alignment horizontal="center"/>
    </xf>
    <xf numFmtId="38" fontId="34" fillId="0" borderId="15" xfId="1" applyNumberFormat="1" applyFont="1" applyBorder="1" applyAlignment="1"/>
    <xf numFmtId="38" fontId="34" fillId="0" borderId="0" xfId="0" applyNumberFormat="1" applyFont="1" applyFill="1" applyBorder="1" applyAlignment="1">
      <alignment horizontal="center"/>
    </xf>
    <xf numFmtId="9" fontId="30" fillId="0" borderId="0" xfId="2" applyNumberFormat="1" applyFont="1" applyAlignment="1">
      <alignment horizontal="left"/>
    </xf>
    <xf numFmtId="9" fontId="30" fillId="0" borderId="0" xfId="2" applyFont="1" applyAlignment="1">
      <alignment horizontal="left"/>
    </xf>
    <xf numFmtId="0" fontId="30" fillId="0" borderId="0" xfId="0" applyFont="1" applyBorder="1"/>
    <xf numFmtId="37" fontId="34" fillId="0" borderId="13" xfId="0" applyNumberFormat="1" applyFont="1" applyFill="1" applyBorder="1" applyAlignment="1"/>
    <xf numFmtId="37" fontId="34" fillId="0" borderId="15" xfId="0" applyNumberFormat="1" applyFont="1" applyFill="1" applyBorder="1" applyAlignment="1">
      <alignment wrapText="1"/>
    </xf>
    <xf numFmtId="9" fontId="30" fillId="0" borderId="0" xfId="2" applyFont="1" applyFill="1" applyBorder="1" applyAlignment="1">
      <alignment wrapText="1"/>
    </xf>
    <xf numFmtId="37" fontId="34" fillId="0" borderId="18" xfId="0" applyNumberFormat="1" applyFont="1" applyFill="1" applyBorder="1" applyAlignment="1">
      <alignment wrapText="1"/>
    </xf>
    <xf numFmtId="37" fontId="34" fillId="0" borderId="19" xfId="0" applyNumberFormat="1" applyFont="1" applyFill="1" applyBorder="1" applyAlignment="1"/>
    <xf numFmtId="37" fontId="36" fillId="0" borderId="0" xfId="0" applyNumberFormat="1" applyFont="1" applyFill="1" applyBorder="1" applyAlignment="1"/>
    <xf numFmtId="37" fontId="34" fillId="0" borderId="23" xfId="0" applyNumberFormat="1" applyFont="1" applyFill="1" applyBorder="1" applyAlignment="1"/>
    <xf numFmtId="37" fontId="34" fillId="0" borderId="24" xfId="0" applyNumberFormat="1" applyFont="1" applyFill="1" applyBorder="1" applyAlignment="1"/>
    <xf numFmtId="37" fontId="34" fillId="0" borderId="25" xfId="0" applyNumberFormat="1" applyFont="1" applyFill="1" applyBorder="1" applyAlignment="1"/>
    <xf numFmtId="38" fontId="30" fillId="0" borderId="17" xfId="0" applyNumberFormat="1" applyFont="1" applyFill="1" applyBorder="1" applyAlignment="1"/>
    <xf numFmtId="38" fontId="32" fillId="0" borderId="0" xfId="0" applyNumberFormat="1" applyFont="1" applyFill="1" applyBorder="1" applyAlignment="1"/>
    <xf numFmtId="38" fontId="34" fillId="0" borderId="21" xfId="0" applyNumberFormat="1" applyFont="1" applyFill="1" applyBorder="1" applyAlignment="1"/>
    <xf numFmtId="9" fontId="37" fillId="0" borderId="0" xfId="2" applyFont="1" applyFill="1" applyBorder="1" applyAlignment="1">
      <alignment wrapText="1"/>
    </xf>
    <xf numFmtId="0" fontId="37" fillId="0" borderId="0" xfId="0" applyFont="1"/>
    <xf numFmtId="0" fontId="37" fillId="0" borderId="0" xfId="0" applyFont="1" applyFill="1" applyBorder="1" applyAlignment="1">
      <alignment wrapText="1"/>
    </xf>
    <xf numFmtId="0" fontId="31" fillId="0" borderId="15" xfId="0" applyFont="1" applyBorder="1"/>
    <xf numFmtId="49" fontId="38" fillId="0" borderId="0" xfId="0" applyNumberFormat="1" applyFont="1" applyBorder="1" applyAlignment="1">
      <alignment horizontal="left"/>
    </xf>
    <xf numFmtId="0" fontId="30" fillId="0" borderId="29" xfId="0" applyFont="1" applyBorder="1"/>
    <xf numFmtId="0" fontId="39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17" xfId="0" applyFont="1" applyBorder="1"/>
    <xf numFmtId="0" fontId="39" fillId="0" borderId="0" xfId="0" applyFont="1"/>
    <xf numFmtId="37" fontId="30" fillId="0" borderId="15" xfId="0" applyNumberFormat="1" applyFont="1" applyBorder="1"/>
    <xf numFmtId="9" fontId="40" fillId="0" borderId="0" xfId="2" applyFont="1" applyFill="1" applyBorder="1" applyAlignment="1">
      <alignment horizontal="center"/>
    </xf>
    <xf numFmtId="9" fontId="37" fillId="0" borderId="0" xfId="2" applyNumberFormat="1" applyFont="1"/>
    <xf numFmtId="9" fontId="37" fillId="0" borderId="0" xfId="2" applyFont="1" applyFill="1" applyBorder="1" applyAlignment="1">
      <alignment horizontal="left" wrapText="1"/>
    </xf>
    <xf numFmtId="10" fontId="37" fillId="0" borderId="0" xfId="2" applyNumberFormat="1" applyFont="1" applyAlignment="1">
      <alignment horizontal="left"/>
    </xf>
    <xf numFmtId="0" fontId="37" fillId="0" borderId="0" xfId="0" applyFont="1" applyFill="1"/>
    <xf numFmtId="38" fontId="34" fillId="0" borderId="21" xfId="0" applyNumberFormat="1" applyFont="1" applyFill="1" applyBorder="1"/>
    <xf numFmtId="38" fontId="34" fillId="0" borderId="22" xfId="0" applyNumberFormat="1" applyFont="1" applyFill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</cellXfs>
  <cellStyles count="10">
    <cellStyle name="Comma" xfId="1" builtinId="3"/>
    <cellStyle name="Comma 2" xfId="4"/>
    <cellStyle name="Currency 2" xfId="5"/>
    <cellStyle name="Normal" xfId="0" builtinId="0"/>
    <cellStyle name="Normal 2" xfId="3"/>
    <cellStyle name="Normal 2 2" xfId="6"/>
    <cellStyle name="Normal 3" xfId="7"/>
    <cellStyle name="Normal 4" xfId="8"/>
    <cellStyle name="Normal 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%202015/CORP%202015%20Info/2015%20Budget%20Housing%20Cor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A~1/AppData/Local/Temp/Aspen%20Budget%20Projection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A~1/AppData/Local/Temp/Yearly%20Comparsion/Lewis%20Court%20Budget%20Projectio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nsolidated for Alan "/>
      <sheetName val="Consolidated for board"/>
      <sheetName val="Orchard Valley"/>
      <sheetName val="REPSITE"/>
      <sheetName val="UPHAM"/>
      <sheetName val="west 40"/>
      <sheetName val="WRP "/>
      <sheetName val="Hilltop "/>
      <sheetName val="west 46 "/>
      <sheetName val="Arvada Cottages "/>
      <sheetName val="Allison Village"/>
      <sheetName val="Dispersed Hsg -Pub Hsg "/>
      <sheetName val="Sheet1"/>
      <sheetName val="% AuditAllocation "/>
      <sheetName val="mgmnt fees"/>
      <sheetName val="Rental Income"/>
      <sheetName val="loss 2012 "/>
      <sheetName val="not used "/>
    </sheetNames>
    <sheetDataSet>
      <sheetData sheetId="0"/>
      <sheetData sheetId="1"/>
      <sheetData sheetId="2"/>
      <sheetData sheetId="3"/>
      <sheetData sheetId="4"/>
      <sheetData sheetId="5"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4"/>
      <sheetName val="Aspen Ridge"/>
    </sheetNames>
    <sheetDataSet>
      <sheetData sheetId="0"/>
      <sheetData sheetId="1"/>
      <sheetData sheetId="2">
        <row r="2">
          <cell r="C2">
            <v>-813401.4</v>
          </cell>
          <cell r="D2">
            <v>-847850.13</v>
          </cell>
          <cell r="E2">
            <v>-890147.56</v>
          </cell>
        </row>
        <row r="3">
          <cell r="C3">
            <v>-79030.17</v>
          </cell>
          <cell r="D3">
            <v>-78911.39</v>
          </cell>
          <cell r="E3">
            <v>-81969.62</v>
          </cell>
        </row>
        <row r="4">
          <cell r="C4">
            <v>18104.47</v>
          </cell>
          <cell r="D4">
            <v>12734.69</v>
          </cell>
          <cell r="E4">
            <v>13463.220000000001</v>
          </cell>
        </row>
        <row r="5">
          <cell r="C5">
            <v>-157.08000000000001</v>
          </cell>
          <cell r="D5">
            <v>-222.05</v>
          </cell>
          <cell r="E5">
            <v>-157.84</v>
          </cell>
        </row>
        <row r="6">
          <cell r="C6">
            <v>-7347.66</v>
          </cell>
          <cell r="D6">
            <v>-6974.92</v>
          </cell>
          <cell r="E6">
            <v>-7930.52</v>
          </cell>
        </row>
        <row r="7">
          <cell r="C7">
            <v>-2949</v>
          </cell>
          <cell r="D7">
            <v>-1900</v>
          </cell>
          <cell r="E7">
            <v>-2170</v>
          </cell>
        </row>
        <row r="8">
          <cell r="C8">
            <v>-1620</v>
          </cell>
          <cell r="D8">
            <v>-1530</v>
          </cell>
          <cell r="E8">
            <v>-3120</v>
          </cell>
        </row>
        <row r="9">
          <cell r="C9">
            <v>-14815.96</v>
          </cell>
          <cell r="D9">
            <v>-4098.05</v>
          </cell>
          <cell r="E9">
            <v>-10628.560000000001</v>
          </cell>
        </row>
        <row r="10">
          <cell r="C10">
            <v>3770</v>
          </cell>
          <cell r="D10">
            <v>1775.7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15235.239999999998</v>
          </cell>
        </row>
        <row r="12">
          <cell r="C12">
            <v>1733.92</v>
          </cell>
          <cell r="D12">
            <v>1709.33</v>
          </cell>
          <cell r="E12">
            <v>821.28</v>
          </cell>
        </row>
        <row r="13">
          <cell r="C13">
            <v>0</v>
          </cell>
          <cell r="D13">
            <v>892.5</v>
          </cell>
          <cell r="E13">
            <v>2474</v>
          </cell>
        </row>
        <row r="14">
          <cell r="C14">
            <v>0</v>
          </cell>
          <cell r="D14">
            <v>0</v>
          </cell>
          <cell r="E14">
            <v>2467.6</v>
          </cell>
        </row>
        <row r="15">
          <cell r="C15">
            <v>0</v>
          </cell>
          <cell r="D15">
            <v>0</v>
          </cell>
          <cell r="E15">
            <v>2460.48</v>
          </cell>
        </row>
        <row r="17">
          <cell r="C17">
            <v>49623</v>
          </cell>
          <cell r="D17">
            <v>49568</v>
          </cell>
          <cell r="E17">
            <v>53596</v>
          </cell>
        </row>
        <row r="18">
          <cell r="C18">
            <v>2217.6999999999998</v>
          </cell>
          <cell r="D18">
            <v>516.79999999999995</v>
          </cell>
          <cell r="E18">
            <v>0</v>
          </cell>
        </row>
        <row r="19">
          <cell r="C19">
            <v>549.69000000000005</v>
          </cell>
          <cell r="D19">
            <v>753.94</v>
          </cell>
          <cell r="E19">
            <v>3309.7799999999997</v>
          </cell>
        </row>
        <row r="20">
          <cell r="C20">
            <v>5605.22</v>
          </cell>
          <cell r="D20">
            <v>5520.62</v>
          </cell>
          <cell r="E20">
            <v>5023.0599999999995</v>
          </cell>
        </row>
        <row r="21">
          <cell r="C21">
            <v>521.6</v>
          </cell>
          <cell r="D21">
            <v>908.54</v>
          </cell>
          <cell r="E21">
            <v>905.24</v>
          </cell>
        </row>
        <row r="22">
          <cell r="C22">
            <v>3389.51</v>
          </cell>
          <cell r="D22">
            <v>2035.5</v>
          </cell>
          <cell r="E22">
            <v>1948.88</v>
          </cell>
        </row>
        <row r="23">
          <cell r="C23">
            <v>6277.9</v>
          </cell>
          <cell r="D23">
            <v>5475.95</v>
          </cell>
          <cell r="E23">
            <v>1198.94</v>
          </cell>
        </row>
        <row r="24">
          <cell r="C24">
            <v>1670.4</v>
          </cell>
          <cell r="D24">
            <v>1525.3</v>
          </cell>
          <cell r="E24">
            <v>807.38</v>
          </cell>
        </row>
        <row r="25">
          <cell r="C25">
            <v>11123.26</v>
          </cell>
          <cell r="D25">
            <v>9829.84</v>
          </cell>
          <cell r="E25">
            <v>9275.7200000000012</v>
          </cell>
        </row>
        <row r="26">
          <cell r="C26">
            <v>20278.900000000001</v>
          </cell>
          <cell r="D26">
            <v>21195.55</v>
          </cell>
          <cell r="E26">
            <v>20300.62</v>
          </cell>
        </row>
        <row r="27">
          <cell r="C27">
            <v>24733.14</v>
          </cell>
          <cell r="D27">
            <v>32126.22</v>
          </cell>
          <cell r="E27">
            <v>37912.06</v>
          </cell>
        </row>
        <row r="28">
          <cell r="C28">
            <v>24100.32</v>
          </cell>
          <cell r="D28">
            <v>25397.62</v>
          </cell>
          <cell r="E28">
            <v>26804.080000000002</v>
          </cell>
        </row>
        <row r="29">
          <cell r="C29">
            <v>190.8</v>
          </cell>
          <cell r="D29">
            <v>319.58999999999997</v>
          </cell>
          <cell r="E29">
            <v>425.95999999999992</v>
          </cell>
        </row>
        <row r="30">
          <cell r="C30">
            <v>25718</v>
          </cell>
          <cell r="D30">
            <v>30358</v>
          </cell>
          <cell r="E30">
            <v>23882</v>
          </cell>
        </row>
        <row r="31">
          <cell r="C31">
            <v>1512</v>
          </cell>
          <cell r="D31">
            <v>1512</v>
          </cell>
          <cell r="E31">
            <v>1428</v>
          </cell>
        </row>
        <row r="32">
          <cell r="C32">
            <v>4840</v>
          </cell>
          <cell r="D32">
            <v>5734.25</v>
          </cell>
          <cell r="E32">
            <v>6036.2000000000007</v>
          </cell>
        </row>
        <row r="33">
          <cell r="C33">
            <v>1908.26</v>
          </cell>
          <cell r="D33">
            <v>1572.63</v>
          </cell>
          <cell r="E33">
            <v>1980.64</v>
          </cell>
        </row>
        <row r="34">
          <cell r="C34">
            <v>14680</v>
          </cell>
          <cell r="D34">
            <v>1435</v>
          </cell>
          <cell r="E34">
            <v>960</v>
          </cell>
        </row>
        <row r="35">
          <cell r="C35">
            <v>6464.37</v>
          </cell>
          <cell r="D35">
            <v>11414.54</v>
          </cell>
          <cell r="E35">
            <v>11985.439999999999</v>
          </cell>
        </row>
        <row r="36">
          <cell r="C36">
            <v>84831.6</v>
          </cell>
          <cell r="D36">
            <v>57153.19</v>
          </cell>
          <cell r="E36">
            <v>50530</v>
          </cell>
        </row>
        <row r="37">
          <cell r="C37">
            <v>21907.8</v>
          </cell>
          <cell r="D37">
            <v>20160.22</v>
          </cell>
          <cell r="E37">
            <v>26433.219999999998</v>
          </cell>
        </row>
        <row r="38">
          <cell r="C38">
            <v>24064.560000000001</v>
          </cell>
          <cell r="D38">
            <v>37520.660000000003</v>
          </cell>
          <cell r="E38">
            <v>44495.34</v>
          </cell>
        </row>
        <row r="39">
          <cell r="C39">
            <v>8911.11</v>
          </cell>
          <cell r="D39">
            <v>18302.13</v>
          </cell>
          <cell r="E39">
            <v>11760</v>
          </cell>
        </row>
        <row r="41">
          <cell r="C41">
            <v>0</v>
          </cell>
          <cell r="D41">
            <v>6533.78</v>
          </cell>
          <cell r="E41">
            <v>8525.2000000000007</v>
          </cell>
        </row>
        <row r="42">
          <cell r="C42">
            <v>33847.06</v>
          </cell>
          <cell r="D42">
            <v>26403.360000000001</v>
          </cell>
          <cell r="E42">
            <v>54984.08</v>
          </cell>
        </row>
        <row r="43">
          <cell r="C43">
            <v>47634.32</v>
          </cell>
          <cell r="D43">
            <v>40169.54</v>
          </cell>
          <cell r="E43">
            <v>23072.58</v>
          </cell>
        </row>
        <row r="44">
          <cell r="C44">
            <v>1111</v>
          </cell>
          <cell r="D44">
            <v>1718.88</v>
          </cell>
          <cell r="E44">
            <v>0</v>
          </cell>
        </row>
        <row r="46">
          <cell r="C46">
            <v>17775.009999999998</v>
          </cell>
          <cell r="D46">
            <v>3217.33</v>
          </cell>
          <cell r="E46">
            <v>28641.82</v>
          </cell>
        </row>
        <row r="47">
          <cell r="C47">
            <v>0</v>
          </cell>
          <cell r="D47">
            <v>8066.62</v>
          </cell>
          <cell r="E47">
            <v>2574.36</v>
          </cell>
        </row>
        <row r="49">
          <cell r="C49">
            <v>133434.13</v>
          </cell>
          <cell r="D49">
            <v>134969.98000000001</v>
          </cell>
          <cell r="E49">
            <v>134945.35999999999</v>
          </cell>
        </row>
        <row r="50">
          <cell r="C50">
            <v>31513.81</v>
          </cell>
          <cell r="D50">
            <v>31500</v>
          </cell>
          <cell r="E50">
            <v>31500</v>
          </cell>
        </row>
        <row r="52">
          <cell r="C52">
            <v>0</v>
          </cell>
          <cell r="D52">
            <v>37376.31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29080</v>
          </cell>
          <cell r="D54">
            <v>53220</v>
          </cell>
          <cell r="E54">
            <v>0</v>
          </cell>
        </row>
        <row r="55">
          <cell r="C55">
            <v>1236.75</v>
          </cell>
          <cell r="D55">
            <v>2927.27</v>
          </cell>
          <cell r="E55">
            <v>3176.26</v>
          </cell>
        </row>
        <row r="56">
          <cell r="C56">
            <v>10879</v>
          </cell>
          <cell r="D56">
            <v>7982</v>
          </cell>
          <cell r="E56">
            <v>11406.86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14819.99</v>
          </cell>
          <cell r="D58">
            <v>26376.28</v>
          </cell>
          <cell r="E58">
            <v>23506.619999999995</v>
          </cell>
        </row>
        <row r="59">
          <cell r="C59">
            <v>2044</v>
          </cell>
          <cell r="D59">
            <v>0</v>
          </cell>
          <cell r="E59">
            <v>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wis Court 2015"/>
      <sheetName val="2014"/>
      <sheetName val="2013"/>
      <sheetName val="2012"/>
      <sheetName val="Sheet4"/>
      <sheetName val="Sheet1"/>
      <sheetName val="How to do it"/>
    </sheetNames>
    <sheetDataSet>
      <sheetData sheetId="0"/>
      <sheetData sheetId="1"/>
      <sheetData sheetId="2"/>
      <sheetData sheetId="3">
        <row r="2">
          <cell r="A2" t="str">
            <v>01-140-0-1120.000</v>
          </cell>
          <cell r="B2" t="str">
            <v>Cash in Bank - First Bank #2588</v>
          </cell>
          <cell r="C2" t="str">
            <v>Asset</v>
          </cell>
          <cell r="D2">
            <v>0</v>
          </cell>
          <cell r="E2">
            <v>100998.75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207828.49</v>
          </cell>
          <cell r="R2">
            <v>308827.24</v>
          </cell>
        </row>
        <row r="3">
          <cell r="A3" t="str">
            <v>01-140-0-1120.100</v>
          </cell>
          <cell r="B3" t="str">
            <v>Wells Fargo Operating #5347</v>
          </cell>
          <cell r="C3" t="str">
            <v>Asset</v>
          </cell>
          <cell r="D3">
            <v>0</v>
          </cell>
          <cell r="E3">
            <v>0</v>
          </cell>
          <cell r="F3">
            <v>23080.57</v>
          </cell>
          <cell r="G3">
            <v>1010726.51</v>
          </cell>
          <cell r="H3">
            <v>558652.29</v>
          </cell>
          <cell r="I3">
            <v>-1592459.37</v>
          </cell>
          <cell r="J3">
            <v>663802.19999999995</v>
          </cell>
          <cell r="K3">
            <v>178883.99</v>
          </cell>
          <cell r="L3">
            <v>-842686.19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</row>
        <row r="4">
          <cell r="A4" t="str">
            <v>01-140-0-1120.200</v>
          </cell>
          <cell r="B4" t="str">
            <v>Wells Fargo - Restricted #7304</v>
          </cell>
          <cell r="C4" t="str">
            <v>Asset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01-140-0-1120.500</v>
          </cell>
          <cell r="B5" t="str">
            <v>LIHTC Investor Proceeds</v>
          </cell>
          <cell r="C5" t="str">
            <v>Asset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01-140-0-1129.000</v>
          </cell>
          <cell r="B6" t="str">
            <v xml:space="preserve">Allowance for Bad Debts </v>
          </cell>
          <cell r="C6" t="str">
            <v>Asset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01-140-0-1130.000</v>
          </cell>
          <cell r="B7" t="str">
            <v>A/R Tenants</v>
          </cell>
          <cell r="C7" t="str">
            <v>Asset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01-140-0-1130.050</v>
          </cell>
          <cell r="B8" t="str">
            <v xml:space="preserve">A/R General Fund </v>
          </cell>
          <cell r="C8" t="str">
            <v>Asset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01-140-0-1140.000</v>
          </cell>
          <cell r="B9" t="str">
            <v>A/R Other</v>
          </cell>
          <cell r="C9" t="str">
            <v>Asset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01-140-0-1191.000</v>
          </cell>
          <cell r="B10" t="str">
            <v>Tenant &amp; Pet Security Deposit #9732</v>
          </cell>
          <cell r="C10" t="str">
            <v>Asset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15024</v>
          </cell>
          <cell r="R10">
            <v>15024</v>
          </cell>
        </row>
        <row r="11">
          <cell r="A11" t="str">
            <v>01-140-0-1290.000</v>
          </cell>
          <cell r="B11" t="str">
            <v>Prepaid Expenses</v>
          </cell>
          <cell r="C11" t="str">
            <v>Asset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6434</v>
          </cell>
          <cell r="R11">
            <v>6434</v>
          </cell>
        </row>
        <row r="12">
          <cell r="A12" t="str">
            <v>01-140-0-1320.000</v>
          </cell>
          <cell r="B12" t="str">
            <v>Cash Replacement Reserves #9047</v>
          </cell>
          <cell r="C12" t="str">
            <v>Asset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3827</v>
          </cell>
          <cell r="R12">
            <v>3827</v>
          </cell>
        </row>
        <row r="13">
          <cell r="A13" t="str">
            <v>01-140-0-1400.000</v>
          </cell>
          <cell r="B13" t="str">
            <v>Land</v>
          </cell>
          <cell r="C13" t="str">
            <v>Asset</v>
          </cell>
          <cell r="D13">
            <v>0</v>
          </cell>
          <cell r="E13">
            <v>1100000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5405</v>
          </cell>
          <cell r="R13">
            <v>1105405</v>
          </cell>
        </row>
        <row r="14">
          <cell r="A14" t="str">
            <v>01-140-0-1400.010</v>
          </cell>
          <cell r="B14" t="str">
            <v>Building</v>
          </cell>
          <cell r="C14" t="str">
            <v>Asset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9978253</v>
          </cell>
          <cell r="R14">
            <v>9978253</v>
          </cell>
        </row>
        <row r="15">
          <cell r="A15" t="str">
            <v>01-140-0-1420.000</v>
          </cell>
          <cell r="B15" t="str">
            <v xml:space="preserve">Developer Fees </v>
          </cell>
          <cell r="C15" t="str">
            <v>Asset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01-140-0-1430.000</v>
          </cell>
          <cell r="B16" t="str">
            <v>Bldg Eqpt Fixed</v>
          </cell>
          <cell r="C16" t="str">
            <v>Asset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01-140-0-1440.000</v>
          </cell>
          <cell r="B17" t="str">
            <v>Building Equipment - Portable</v>
          </cell>
          <cell r="C17" t="str">
            <v>Asset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01-140-0-1450.000</v>
          </cell>
          <cell r="B18" t="str">
            <v>Furniture</v>
          </cell>
          <cell r="C18" t="str">
            <v>Asset</v>
          </cell>
          <cell r="D18">
            <v>0</v>
          </cell>
          <cell r="E18">
            <v>0</v>
          </cell>
          <cell r="F18">
            <v>0</v>
          </cell>
          <cell r="G18">
            <v>113052.96</v>
          </cell>
          <cell r="H18">
            <v>0</v>
          </cell>
          <cell r="I18">
            <v>48976.44</v>
          </cell>
          <cell r="J18">
            <v>0</v>
          </cell>
          <cell r="K18">
            <v>0</v>
          </cell>
          <cell r="L18">
            <v>0</v>
          </cell>
          <cell r="M18">
            <v>32468.54</v>
          </cell>
          <cell r="N18">
            <v>0</v>
          </cell>
          <cell r="O18">
            <v>0</v>
          </cell>
          <cell r="P18">
            <v>0</v>
          </cell>
          <cell r="Q18">
            <v>26546.06</v>
          </cell>
          <cell r="R18">
            <v>221044.00000000003</v>
          </cell>
        </row>
        <row r="19">
          <cell r="A19" t="str">
            <v>01-140-0-1460.000</v>
          </cell>
          <cell r="B19" t="str">
            <v>Furnishings</v>
          </cell>
          <cell r="C19" t="str">
            <v>Asset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01-140-0-1470.000</v>
          </cell>
          <cell r="B20" t="str">
            <v>CIP-Capitalized Interest</v>
          </cell>
          <cell r="C20" t="str">
            <v>Asset</v>
          </cell>
          <cell r="D20">
            <v>0</v>
          </cell>
          <cell r="E20">
            <v>50852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-91260.86</v>
          </cell>
          <cell r="L20">
            <v>91260.86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-50852</v>
          </cell>
          <cell r="R20">
            <v>0</v>
          </cell>
        </row>
        <row r="21">
          <cell r="A21" t="str">
            <v>01-140-0-1490.000</v>
          </cell>
          <cell r="B21" t="str">
            <v>Misc. Fixed Assets</v>
          </cell>
          <cell r="C21" t="str">
            <v>Asset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6568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-6568</v>
          </cell>
          <cell r="R21">
            <v>0</v>
          </cell>
        </row>
        <row r="22">
          <cell r="A22" t="str">
            <v>01-140-0-1741.030</v>
          </cell>
          <cell r="B22" t="str">
            <v>Pre-Construction      Inspection Fees</v>
          </cell>
          <cell r="C22" t="str">
            <v>Asset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4375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-4375</v>
          </cell>
          <cell r="R22">
            <v>0</v>
          </cell>
        </row>
        <row r="23">
          <cell r="A23" t="str">
            <v>01-140-0-1800.000</v>
          </cell>
          <cell r="B23" t="str">
            <v xml:space="preserve">Tax Credit Fees </v>
          </cell>
          <cell r="C23" t="str">
            <v>Asset</v>
          </cell>
          <cell r="D23">
            <v>0</v>
          </cell>
          <cell r="E23">
            <v>32415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18682</v>
          </cell>
          <cell r="R23">
            <v>51097</v>
          </cell>
        </row>
        <row r="24">
          <cell r="A24" t="str">
            <v>01-140-0-1800.100</v>
          </cell>
          <cell r="B24" t="str">
            <v xml:space="preserve">Investor Due Diligence </v>
          </cell>
          <cell r="C24" t="str">
            <v>Asset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52861</v>
          </cell>
          <cell r="R24">
            <v>52861</v>
          </cell>
        </row>
        <row r="25">
          <cell r="A25" t="str">
            <v>01-140-0-1900.000</v>
          </cell>
          <cell r="B25" t="str">
            <v>Rent-Up Reserves</v>
          </cell>
          <cell r="C25" t="str">
            <v>Asset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56778</v>
          </cell>
          <cell r="M25">
            <v>0</v>
          </cell>
          <cell r="N25">
            <v>0</v>
          </cell>
          <cell r="O25">
            <v>0</v>
          </cell>
          <cell r="P25">
            <v>-56778</v>
          </cell>
          <cell r="Q25">
            <v>0</v>
          </cell>
          <cell r="R25">
            <v>0</v>
          </cell>
        </row>
        <row r="26">
          <cell r="A26" t="str">
            <v>01-140-0-2110.000</v>
          </cell>
          <cell r="B26" t="str">
            <v>A/P Housing Corp</v>
          </cell>
          <cell r="C26" t="str">
            <v>Liability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01-140-0-2110.010</v>
          </cell>
          <cell r="B27" t="str">
            <v>A/P General Fund</v>
          </cell>
          <cell r="C27" t="str">
            <v>Liability</v>
          </cell>
          <cell r="D27">
            <v>0</v>
          </cell>
          <cell r="E27">
            <v>-746927.69</v>
          </cell>
          <cell r="F27">
            <v>-13998.45</v>
          </cell>
          <cell r="G27">
            <v>-1005618.77</v>
          </cell>
          <cell r="H27">
            <v>-586640.68999999994</v>
          </cell>
          <cell r="I27">
            <v>1602954.91</v>
          </cell>
          <cell r="J27">
            <v>-659303.44999999995</v>
          </cell>
          <cell r="K27">
            <v>1346646.91</v>
          </cell>
          <cell r="L27">
            <v>87900.21</v>
          </cell>
          <cell r="M27">
            <v>-93631.75</v>
          </cell>
          <cell r="N27">
            <v>-4426.6400000000003</v>
          </cell>
          <cell r="O27">
            <v>-742.5</v>
          </cell>
          <cell r="P27">
            <v>-103837</v>
          </cell>
          <cell r="Q27">
            <v>29154.07</v>
          </cell>
          <cell r="R27">
            <v>-148470.83999999973</v>
          </cell>
        </row>
        <row r="28">
          <cell r="A28" t="str">
            <v>01-140-0-2110.020</v>
          </cell>
          <cell r="B28" t="str">
            <v>A/P Tenants</v>
          </cell>
          <cell r="C28" t="str">
            <v>Liability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A29" t="str">
            <v>01-140-0-2110.030</v>
          </cell>
          <cell r="B29" t="str">
            <v>Retainage Payable</v>
          </cell>
          <cell r="C29" t="str">
            <v>Liability</v>
          </cell>
          <cell r="D29">
            <v>0</v>
          </cell>
          <cell r="E29">
            <v>-263493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-93086</v>
          </cell>
          <cell r="L29">
            <v>93086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263493</v>
          </cell>
          <cell r="R29">
            <v>0</v>
          </cell>
        </row>
        <row r="30">
          <cell r="A30" t="str">
            <v>01-140-0-2111.000</v>
          </cell>
          <cell r="B30" t="str">
            <v>A/P Trade</v>
          </cell>
          <cell r="C30" t="str">
            <v>Liability</v>
          </cell>
          <cell r="D30">
            <v>0</v>
          </cell>
          <cell r="E30">
            <v>-617067.29</v>
          </cell>
          <cell r="F30">
            <v>0</v>
          </cell>
          <cell r="G30">
            <v>0</v>
          </cell>
          <cell r="H30">
            <v>0</v>
          </cell>
          <cell r="I30">
            <v>617067.29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01-140-0-2111.010</v>
          </cell>
          <cell r="B31" t="str">
            <v>Deferred Income</v>
          </cell>
          <cell r="C31" t="str">
            <v>Liability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-1377</v>
          </cell>
          <cell r="R31">
            <v>-1377</v>
          </cell>
        </row>
        <row r="32">
          <cell r="A32" t="str">
            <v>01-140-0-2111.100</v>
          </cell>
          <cell r="B32" t="str">
            <v xml:space="preserve">Construction Loan Payable </v>
          </cell>
          <cell r="C32" t="str">
            <v>Liability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-461139</v>
          </cell>
          <cell r="R32">
            <v>-461139</v>
          </cell>
        </row>
        <row r="33">
          <cell r="A33" t="str">
            <v>01-140-0-2133.200</v>
          </cell>
          <cell r="B33" t="str">
            <v>Accrued Interest Payable</v>
          </cell>
          <cell r="C33" t="str">
            <v>Liability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-161753</v>
          </cell>
          <cell r="R33">
            <v>-161753</v>
          </cell>
        </row>
        <row r="34">
          <cell r="A34" t="str">
            <v>01-140-0-2190.000</v>
          </cell>
          <cell r="B34" t="str">
            <v>A/P Management Fee</v>
          </cell>
          <cell r="C34" t="str">
            <v>Liability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01-140-0-2191.000</v>
          </cell>
          <cell r="B35" t="str">
            <v>Tenant Security Deposits</v>
          </cell>
          <cell r="C35" t="str">
            <v>Liability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-14050</v>
          </cell>
          <cell r="R35">
            <v>-14050</v>
          </cell>
        </row>
        <row r="36">
          <cell r="A36" t="str">
            <v>01-140-0-2192.000</v>
          </cell>
          <cell r="B36" t="str">
            <v>Pet Security Deposits</v>
          </cell>
          <cell r="C36" t="str">
            <v>Liability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01-140-0-2200.000</v>
          </cell>
          <cell r="B37" t="str">
            <v>Accrued Ptrship Mgmt Fee</v>
          </cell>
          <cell r="C37" t="str">
            <v>Liability</v>
          </cell>
          <cell r="D37">
            <v>0</v>
          </cell>
          <cell r="E37">
            <v>-50852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-45980.56</v>
          </cell>
          <cell r="L37">
            <v>45980.56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50852</v>
          </cell>
          <cell r="R37">
            <v>0</v>
          </cell>
        </row>
        <row r="38">
          <cell r="A38" t="str">
            <v>01-140-0-2320.000</v>
          </cell>
          <cell r="B38" t="str">
            <v>Mortgage Payable - Building</v>
          </cell>
          <cell r="C38" t="str">
            <v>Liability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01-140-0-2370.000</v>
          </cell>
          <cell r="B39" t="str">
            <v>JCHA - First Mortgage</v>
          </cell>
          <cell r="C39" t="str">
            <v>Liability</v>
          </cell>
          <cell r="D39">
            <v>0</v>
          </cell>
          <cell r="E39">
            <v>-600000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-600000</v>
          </cell>
        </row>
        <row r="40">
          <cell r="A40" t="str">
            <v>01-140-0-2380.000</v>
          </cell>
          <cell r="B40" t="str">
            <v>Loan Payable - Jeffco Housing Corp</v>
          </cell>
          <cell r="C40" t="str">
            <v>Liability</v>
          </cell>
          <cell r="D40">
            <v>0</v>
          </cell>
          <cell r="E40">
            <v>-1240000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-1240000</v>
          </cell>
        </row>
        <row r="41">
          <cell r="A41" t="str">
            <v>01-140-0-2390.000</v>
          </cell>
          <cell r="B41" t="str">
            <v xml:space="preserve">Note Payable - Jeffco Housing Authority </v>
          </cell>
          <cell r="C41" t="str">
            <v>Liability</v>
          </cell>
          <cell r="D41">
            <v>0</v>
          </cell>
          <cell r="E41">
            <v>-1100000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-1100000</v>
          </cell>
        </row>
        <row r="42">
          <cell r="A42" t="str">
            <v>01-140-0-2391.000</v>
          </cell>
          <cell r="B42" t="str">
            <v xml:space="preserve">A/P Wells Fargo - Construction Loan </v>
          </cell>
          <cell r="C42" t="str">
            <v>Liability</v>
          </cell>
          <cell r="D42">
            <v>0</v>
          </cell>
          <cell r="E42">
            <v>-584095.18000000005</v>
          </cell>
          <cell r="F42">
            <v>-640147.86</v>
          </cell>
          <cell r="G42">
            <v>-1010726.51</v>
          </cell>
          <cell r="H42">
            <v>-558652.29</v>
          </cell>
          <cell r="I42">
            <v>-837472.39</v>
          </cell>
          <cell r="J42">
            <v>-663802.19999999995</v>
          </cell>
          <cell r="K42">
            <v>-2123555.6800000002</v>
          </cell>
          <cell r="L42">
            <v>647798.22</v>
          </cell>
          <cell r="M42">
            <v>0</v>
          </cell>
          <cell r="N42">
            <v>0</v>
          </cell>
          <cell r="O42">
            <v>0</v>
          </cell>
          <cell r="P42">
            <v>160615</v>
          </cell>
          <cell r="Q42">
            <v>-1288291.1100000001</v>
          </cell>
          <cell r="R42">
            <v>-6898330</v>
          </cell>
        </row>
        <row r="43">
          <cell r="A43" t="str">
            <v>01-140-0-2391.100</v>
          </cell>
          <cell r="B43" t="str">
            <v>Developer Fees Payable</v>
          </cell>
          <cell r="C43" t="str">
            <v>Liability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-959163</v>
          </cell>
          <cell r="R43">
            <v>-959163</v>
          </cell>
        </row>
        <row r="44">
          <cell r="A44" t="str">
            <v>01-140-0-2392.000</v>
          </cell>
          <cell r="B44" t="str">
            <v>Investor Proceeds</v>
          </cell>
          <cell r="C44" t="str">
            <v>Liability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01-140-0-2410.000</v>
          </cell>
          <cell r="B45" t="str">
            <v>Accumulated Depreciation</v>
          </cell>
          <cell r="C45" t="str">
            <v>Liability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-158489</v>
          </cell>
          <cell r="R45">
            <v>-158489</v>
          </cell>
        </row>
        <row r="46">
          <cell r="A46" t="str">
            <v>01-140-0-2420.000</v>
          </cell>
          <cell r="B46" t="str">
            <v xml:space="preserve">Accumulated Amortization </v>
          </cell>
          <cell r="C46" t="str">
            <v>Liability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01-140-0-2700.000</v>
          </cell>
          <cell r="B47" t="str">
            <v>Income &amp; Expense Clearing</v>
          </cell>
          <cell r="C47" t="str">
            <v>Liability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-132799.44</v>
          </cell>
          <cell r="R47">
            <v>-132799.44</v>
          </cell>
        </row>
        <row r="48">
          <cell r="A48" t="str">
            <v>01-140-0-3110.000</v>
          </cell>
          <cell r="B48" t="str">
            <v>LP-Investment</v>
          </cell>
          <cell r="C48" t="str">
            <v>Liability</v>
          </cell>
          <cell r="D48">
            <v>0</v>
          </cell>
          <cell r="E48">
            <v>-1376358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-103837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1480195</v>
          </cell>
          <cell r="R48">
            <v>0</v>
          </cell>
        </row>
        <row r="49">
          <cell r="A49" t="str">
            <v>01-140-0-3210.000</v>
          </cell>
          <cell r="B49" t="str">
            <v>Earned Surplus</v>
          </cell>
          <cell r="C49" t="str">
            <v>Liability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01-140-0-3250.000</v>
          </cell>
          <cell r="B50" t="str">
            <v>Profit or Loss Account</v>
          </cell>
          <cell r="C50" t="str">
            <v>Liability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-17674.759999999998</v>
          </cell>
          <cell r="R50">
            <v>-17674.759999999998</v>
          </cell>
        </row>
        <row r="51">
          <cell r="A51" t="str">
            <v>01-140-1-5120.000</v>
          </cell>
          <cell r="B51" t="str">
            <v>Rental Income</v>
          </cell>
          <cell r="C51" t="str">
            <v>Income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-249514</v>
          </cell>
          <cell r="R51">
            <v>-249514</v>
          </cell>
        </row>
        <row r="52">
          <cell r="A52" t="str">
            <v>01-140-1-5220.000</v>
          </cell>
          <cell r="B52" t="str">
            <v>Vacancies</v>
          </cell>
          <cell r="C52" t="str">
            <v>Income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60568</v>
          </cell>
          <cell r="R52">
            <v>60568</v>
          </cell>
        </row>
        <row r="53">
          <cell r="A53" t="str">
            <v>01-140-1-5410.000</v>
          </cell>
          <cell r="B53" t="str">
            <v>Interest Income</v>
          </cell>
          <cell r="C53" t="str">
            <v>Income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-1</v>
          </cell>
          <cell r="R53">
            <v>-1</v>
          </cell>
        </row>
        <row r="54">
          <cell r="A54" t="str">
            <v>01-140-1-5920.000</v>
          </cell>
          <cell r="B54" t="str">
            <v>NSF &amp; Late Charges</v>
          </cell>
          <cell r="C54" t="str">
            <v>Income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-1479</v>
          </cell>
          <cell r="R54">
            <v>-1479</v>
          </cell>
        </row>
        <row r="55">
          <cell r="A55" t="str">
            <v>01-140-1-5990.010</v>
          </cell>
          <cell r="B55" t="str">
            <v xml:space="preserve">Other Income </v>
          </cell>
          <cell r="C55" t="str">
            <v>Income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-140</v>
          </cell>
          <cell r="R55">
            <v>-140</v>
          </cell>
        </row>
        <row r="56">
          <cell r="A56" t="str">
            <v>01-140-1-5999.000</v>
          </cell>
          <cell r="B56" t="str">
            <v>Office Apartment</v>
          </cell>
          <cell r="C56" t="str">
            <v>Expense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-90565</v>
          </cell>
          <cell r="R56">
            <v>-90565</v>
          </cell>
        </row>
        <row r="57">
          <cell r="A57" t="str">
            <v>01-140-1-6210.000</v>
          </cell>
          <cell r="B57" t="str">
            <v>Advertising</v>
          </cell>
          <cell r="C57" t="str">
            <v>Expense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13581</v>
          </cell>
          <cell r="R57">
            <v>13581</v>
          </cell>
        </row>
        <row r="58">
          <cell r="A58" t="str">
            <v>01-140-1-6310.000</v>
          </cell>
          <cell r="B58" t="str">
            <v>Office Salaries</v>
          </cell>
          <cell r="C58" t="str">
            <v>Expense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20633</v>
          </cell>
          <cell r="R58">
            <v>20633</v>
          </cell>
        </row>
        <row r="59">
          <cell r="A59" t="str">
            <v>01-140-1-6311.000</v>
          </cell>
          <cell r="B59" t="str">
            <v>Office Supplies</v>
          </cell>
          <cell r="C59" t="str">
            <v>Expense</v>
          </cell>
          <cell r="D59">
            <v>0</v>
          </cell>
          <cell r="E59">
            <v>0</v>
          </cell>
          <cell r="F59">
            <v>2.69</v>
          </cell>
          <cell r="G59">
            <v>0.9</v>
          </cell>
          <cell r="H59">
            <v>4.95</v>
          </cell>
          <cell r="I59">
            <v>3.15</v>
          </cell>
          <cell r="J59">
            <v>0</v>
          </cell>
          <cell r="K59">
            <v>3.15</v>
          </cell>
          <cell r="L59">
            <v>0.45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10547.71</v>
          </cell>
          <cell r="R59">
            <v>10563</v>
          </cell>
        </row>
        <row r="60">
          <cell r="A60" t="str">
            <v>01-140-1-6313.000</v>
          </cell>
          <cell r="B60" t="str">
            <v>Postage</v>
          </cell>
          <cell r="C60" t="str">
            <v>Expense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 t="str">
            <v>01-140-1-6320.000</v>
          </cell>
          <cell r="B61" t="str">
            <v>Management Fee</v>
          </cell>
          <cell r="C61" t="str">
            <v>Expense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16167</v>
          </cell>
          <cell r="R61">
            <v>16167</v>
          </cell>
        </row>
        <row r="62">
          <cell r="A62" t="str">
            <v>01-140-1-6320.020</v>
          </cell>
          <cell r="B62" t="str">
            <v>Professional Services</v>
          </cell>
          <cell r="C62" t="str">
            <v>Expense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01-140-1-6330.100</v>
          </cell>
          <cell r="B63" t="str">
            <v>Manager Salaries</v>
          </cell>
          <cell r="C63" t="str">
            <v>Expense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 t="str">
            <v>01-140-1-6340.000</v>
          </cell>
          <cell r="B64" t="str">
            <v>Legal Expense</v>
          </cell>
          <cell r="C64" t="str">
            <v>Expense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1813</v>
          </cell>
          <cell r="R64">
            <v>1813</v>
          </cell>
        </row>
        <row r="65">
          <cell r="A65" t="str">
            <v>01-140-1-6350.000</v>
          </cell>
          <cell r="B65" t="str">
            <v>Audit Expense</v>
          </cell>
          <cell r="C65" t="str">
            <v>Expense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5000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3700</v>
          </cell>
          <cell r="R65">
            <v>8700</v>
          </cell>
        </row>
        <row r="66">
          <cell r="A66" t="str">
            <v>01-140-1-6360.000</v>
          </cell>
          <cell r="B66" t="str">
            <v>Telephone</v>
          </cell>
          <cell r="C66" t="str">
            <v>Expense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3950</v>
          </cell>
          <cell r="R66">
            <v>3950</v>
          </cell>
        </row>
        <row r="67">
          <cell r="A67" t="str">
            <v>01-140-1-6390.000</v>
          </cell>
          <cell r="B67" t="str">
            <v>Misc Admin Exp</v>
          </cell>
          <cell r="C67" t="str">
            <v>Expense</v>
          </cell>
          <cell r="D67">
            <v>0</v>
          </cell>
          <cell r="E67">
            <v>0</v>
          </cell>
          <cell r="F67">
            <v>700.26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-402.76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15067.5</v>
          </cell>
          <cell r="R67">
            <v>15365</v>
          </cell>
        </row>
        <row r="68">
          <cell r="A68" t="str">
            <v>01-140-1-6390.030</v>
          </cell>
          <cell r="B68" t="str">
            <v>Development Consultant</v>
          </cell>
          <cell r="C68" t="str">
            <v>Expense</v>
          </cell>
          <cell r="D68">
            <v>0</v>
          </cell>
          <cell r="E68">
            <v>0</v>
          </cell>
          <cell r="F68">
            <v>0</v>
          </cell>
          <cell r="G68">
            <v>3588.75</v>
          </cell>
          <cell r="H68">
            <v>0</v>
          </cell>
          <cell r="I68">
            <v>-3588.75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742.5</v>
          </cell>
          <cell r="P68">
            <v>0</v>
          </cell>
          <cell r="Q68">
            <v>-742.5</v>
          </cell>
          <cell r="R68">
            <v>0</v>
          </cell>
        </row>
        <row r="69">
          <cell r="A69" t="str">
            <v>01-140-1-6391.000</v>
          </cell>
          <cell r="B69" t="str">
            <v>Travel</v>
          </cell>
          <cell r="C69" t="str">
            <v>Expense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A70" t="str">
            <v>01-140-1-6450.000</v>
          </cell>
          <cell r="B70" t="str">
            <v>Electricity</v>
          </cell>
          <cell r="C70" t="str">
            <v>Expense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14182</v>
          </cell>
          <cell r="R70">
            <v>14182</v>
          </cell>
        </row>
        <row r="71">
          <cell r="A71" t="str">
            <v>01-140-1-6451.000</v>
          </cell>
          <cell r="B71" t="str">
            <v>Water</v>
          </cell>
          <cell r="C71" t="str">
            <v>Expense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24.1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5262.9</v>
          </cell>
          <cell r="R71">
            <v>5287</v>
          </cell>
        </row>
        <row r="72">
          <cell r="A72" t="str">
            <v>01-140-1-6452.000</v>
          </cell>
          <cell r="B72" t="str">
            <v>Gas</v>
          </cell>
          <cell r="C72" t="str">
            <v>Expense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375.41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3707.59</v>
          </cell>
          <cell r="R72">
            <v>4083</v>
          </cell>
        </row>
        <row r="73">
          <cell r="A73" t="str">
            <v>01-140-1-6453.000</v>
          </cell>
          <cell r="B73" t="str">
            <v>Sewer</v>
          </cell>
          <cell r="C73" t="str">
            <v>Expense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88.46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318.33999999999997</v>
          </cell>
          <cell r="R73">
            <v>406.79999999999995</v>
          </cell>
        </row>
        <row r="74">
          <cell r="A74" t="str">
            <v>01-140-1-6515.000</v>
          </cell>
          <cell r="B74" t="str">
            <v>Cleaning Supplies</v>
          </cell>
          <cell r="C74" t="str">
            <v>Expense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A75" t="str">
            <v>01-140-1-6517.000</v>
          </cell>
          <cell r="B75" t="str">
            <v>Cleaning Contract</v>
          </cell>
          <cell r="C75" t="str">
            <v>Expense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3956</v>
          </cell>
          <cell r="R75">
            <v>3956</v>
          </cell>
        </row>
        <row r="76">
          <cell r="A76" t="str">
            <v>01-140-1-6525.000</v>
          </cell>
          <cell r="B76" t="str">
            <v>Trash Removal</v>
          </cell>
          <cell r="C76" t="str">
            <v>Expense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1946</v>
          </cell>
          <cell r="R76">
            <v>1946</v>
          </cell>
        </row>
        <row r="77">
          <cell r="A77" t="str">
            <v>01-140-1-6537.000</v>
          </cell>
          <cell r="B77" t="str">
            <v>Grounds</v>
          </cell>
          <cell r="C77" t="str">
            <v>Expense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442</v>
          </cell>
          <cell r="R77">
            <v>442</v>
          </cell>
        </row>
        <row r="78">
          <cell r="A78" t="str">
            <v>01-140-1-6541.000</v>
          </cell>
          <cell r="B78" t="str">
            <v>Repair Materials</v>
          </cell>
          <cell r="C78" t="str">
            <v>Expense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1253</v>
          </cell>
          <cell r="R78">
            <v>1253</v>
          </cell>
        </row>
        <row r="79">
          <cell r="A79" t="str">
            <v>01-140-1-6542.000</v>
          </cell>
          <cell r="B79" t="str">
            <v>Repair Contract</v>
          </cell>
          <cell r="C79" t="str">
            <v>Expense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6168</v>
          </cell>
          <cell r="R79">
            <v>6168</v>
          </cell>
        </row>
        <row r="80">
          <cell r="A80" t="str">
            <v>01-140-1-6545.000</v>
          </cell>
          <cell r="B80" t="str">
            <v>Repair Payroll</v>
          </cell>
          <cell r="C80" t="str">
            <v>Income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8606</v>
          </cell>
          <cell r="R80">
            <v>8606</v>
          </cell>
        </row>
        <row r="81">
          <cell r="A81" t="str">
            <v>01-140-1-6548.000</v>
          </cell>
          <cell r="B81" t="str">
            <v>Snow Removal</v>
          </cell>
          <cell r="C81" t="str">
            <v>Expense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2053</v>
          </cell>
          <cell r="R81">
            <v>2053</v>
          </cell>
        </row>
        <row r="82">
          <cell r="A82" t="str">
            <v>01-140-1-6590.000</v>
          </cell>
          <cell r="B82" t="str">
            <v>Extra Maint</v>
          </cell>
          <cell r="C82" t="str">
            <v>Expense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1113</v>
          </cell>
          <cell r="R82">
            <v>1113</v>
          </cell>
        </row>
        <row r="83">
          <cell r="A83" t="str">
            <v>01-140-1-6711.000</v>
          </cell>
          <cell r="B83" t="str">
            <v>Payroll Taxes</v>
          </cell>
          <cell r="C83" t="str">
            <v>Expense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2589</v>
          </cell>
          <cell r="R83">
            <v>2589</v>
          </cell>
        </row>
        <row r="84">
          <cell r="A84" t="str">
            <v>01-140-1-6720.000</v>
          </cell>
          <cell r="B84" t="str">
            <v>Insurance</v>
          </cell>
          <cell r="C84" t="str">
            <v>Expense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7713</v>
          </cell>
          <cell r="R84">
            <v>7713</v>
          </cell>
        </row>
        <row r="85">
          <cell r="A85" t="str">
            <v>01-140-1-6723.000</v>
          </cell>
          <cell r="B85" t="str">
            <v>Employee Benefits</v>
          </cell>
          <cell r="C85" t="str">
            <v>Expense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2381</v>
          </cell>
          <cell r="R85">
            <v>2381</v>
          </cell>
        </row>
        <row r="86">
          <cell r="A86" t="str">
            <v>01-140-1-6725.000</v>
          </cell>
          <cell r="B86" t="str">
            <v>Workmen's Comp Expense</v>
          </cell>
          <cell r="C86" t="str">
            <v>Expense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189</v>
          </cell>
          <cell r="R86">
            <v>189</v>
          </cell>
        </row>
        <row r="87">
          <cell r="A87" t="str">
            <v>01-140-1-6742.000</v>
          </cell>
          <cell r="B87" t="str">
            <v>Bad Debt Loss</v>
          </cell>
          <cell r="C87" t="str">
            <v>Expense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18</v>
          </cell>
          <cell r="R87">
            <v>18</v>
          </cell>
        </row>
        <row r="88">
          <cell r="A88" t="str">
            <v>01-140-1-6820.000</v>
          </cell>
          <cell r="B88" t="str">
            <v>Interest on Mortgage Payable</v>
          </cell>
          <cell r="C88" t="str">
            <v>Expense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97171</v>
          </cell>
          <cell r="R88">
            <v>97171</v>
          </cell>
        </row>
        <row r="89">
          <cell r="A89" t="str">
            <v>01-140-1-6900.000</v>
          </cell>
          <cell r="B89" t="str">
            <v>Elderly Services</v>
          </cell>
          <cell r="C89" t="str">
            <v>Expense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01-140-1-6960.000</v>
          </cell>
          <cell r="B90" t="str">
            <v>Depreciation Expense</v>
          </cell>
          <cell r="C90" t="str">
            <v>Expense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158489</v>
          </cell>
          <cell r="R90">
            <v>158489</v>
          </cell>
        </row>
        <row r="91">
          <cell r="A91" t="str">
            <v>01-140-1-6970.000</v>
          </cell>
          <cell r="B91" t="str">
            <v>Amortization Expense</v>
          </cell>
          <cell r="C91" t="str">
            <v>Asset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opLeftCell="A4" zoomScale="80" zoomScaleNormal="80" workbookViewId="0">
      <pane xSplit="1" ySplit="8" topLeftCell="B27" activePane="bottomRight" state="frozen"/>
      <selection activeCell="K50" sqref="K50"/>
      <selection pane="topRight" activeCell="K50" sqref="K50"/>
      <selection pane="bottomLeft" activeCell="K50" sqref="K50"/>
      <selection pane="bottomRight" activeCell="F209" sqref="F209"/>
    </sheetView>
  </sheetViews>
  <sheetFormatPr defaultRowHeight="12.75" x14ac:dyDescent="0.2"/>
  <cols>
    <col min="1" max="1" width="48.5703125" style="94" customWidth="1"/>
    <col min="2" max="2" width="7.42578125" style="94" customWidth="1"/>
    <col min="3" max="3" width="13.7109375" style="94" customWidth="1"/>
    <col min="4" max="4" width="4.5703125" style="94" customWidth="1"/>
    <col min="5" max="6" width="13.7109375" style="94" customWidth="1"/>
    <col min="7" max="7" width="5.7109375" style="94" customWidth="1"/>
    <col min="8" max="8" width="14.7109375" style="94" customWidth="1"/>
    <col min="9" max="9" width="13.7109375" style="94" customWidth="1"/>
    <col min="10" max="10" width="10.7109375" style="94" customWidth="1"/>
    <col min="11" max="11" width="63" style="93" bestFit="1" customWidth="1"/>
    <col min="12" max="12" width="36" style="94" customWidth="1"/>
    <col min="13" max="13" width="9.28515625" style="94" bestFit="1" customWidth="1"/>
    <col min="14" max="16384" width="9.140625" style="94"/>
  </cols>
  <sheetData>
    <row r="1" spans="1:11" s="77" customFormat="1" ht="15" x14ac:dyDescent="0.25">
      <c r="A1" s="76"/>
      <c r="B1" s="76"/>
      <c r="C1" s="76"/>
      <c r="D1" s="76"/>
      <c r="E1" s="76"/>
      <c r="F1" s="76"/>
      <c r="G1" s="76"/>
      <c r="K1" s="78"/>
    </row>
    <row r="2" spans="1:11" s="77" customFormat="1" ht="15" x14ac:dyDescent="0.25">
      <c r="A2" s="76"/>
      <c r="B2" s="76"/>
      <c r="C2" s="76"/>
      <c r="D2" s="76"/>
      <c r="E2" s="79" t="s">
        <v>471</v>
      </c>
      <c r="F2" s="76"/>
      <c r="G2" s="76"/>
      <c r="K2" s="78"/>
    </row>
    <row r="3" spans="1:11" s="77" customFormat="1" ht="15" x14ac:dyDescent="0.25">
      <c r="A3" s="80"/>
      <c r="B3" s="76"/>
      <c r="C3" s="79"/>
      <c r="D3" s="76"/>
      <c r="E3" s="79" t="s">
        <v>463</v>
      </c>
      <c r="F3" s="76"/>
      <c r="G3" s="76"/>
      <c r="K3" s="78"/>
    </row>
    <row r="4" spans="1:11" s="77" customFormat="1" ht="15" x14ac:dyDescent="0.25">
      <c r="A4" s="80"/>
      <c r="B4" s="76"/>
      <c r="C4" s="81"/>
      <c r="D4" s="79"/>
      <c r="E4" s="81" t="s">
        <v>472</v>
      </c>
      <c r="F4" s="79"/>
      <c r="G4" s="79"/>
      <c r="K4" s="78"/>
    </row>
    <row r="5" spans="1:11" s="77" customFormat="1" ht="15" x14ac:dyDescent="0.25">
      <c r="A5" s="82"/>
      <c r="B5" s="76"/>
      <c r="C5" s="79"/>
      <c r="D5" s="79"/>
      <c r="E5" s="79"/>
      <c r="F5" s="79"/>
      <c r="G5" s="79"/>
      <c r="H5" s="80"/>
      <c r="K5" s="83"/>
    </row>
    <row r="6" spans="1:11" s="77" customFormat="1" ht="15" x14ac:dyDescent="0.25">
      <c r="A6" s="82"/>
      <c r="B6" s="76"/>
      <c r="C6" s="84"/>
      <c r="D6" s="84"/>
      <c r="E6" s="84"/>
      <c r="F6" s="84"/>
      <c r="G6" s="79"/>
      <c r="H6" s="79" t="s">
        <v>464</v>
      </c>
      <c r="I6" s="79" t="s">
        <v>464</v>
      </c>
      <c r="J6" s="79"/>
      <c r="K6" s="78"/>
    </row>
    <row r="7" spans="1:11" s="77" customFormat="1" ht="15" x14ac:dyDescent="0.25">
      <c r="A7" s="76"/>
      <c r="B7" s="76"/>
      <c r="C7" s="81" t="s">
        <v>465</v>
      </c>
      <c r="D7" s="81"/>
      <c r="E7" s="81" t="s">
        <v>465</v>
      </c>
      <c r="F7" s="81" t="s">
        <v>465</v>
      </c>
      <c r="G7" s="76"/>
      <c r="H7" s="79"/>
      <c r="I7" s="79" t="s">
        <v>466</v>
      </c>
      <c r="J7" s="79"/>
      <c r="K7" s="85"/>
    </row>
    <row r="8" spans="1:11" s="77" customFormat="1" ht="15" x14ac:dyDescent="0.25">
      <c r="A8" s="86"/>
      <c r="C8" s="87" t="s">
        <v>467</v>
      </c>
      <c r="D8" s="88"/>
      <c r="E8" s="87" t="s">
        <v>489</v>
      </c>
      <c r="F8" s="87" t="s">
        <v>489</v>
      </c>
      <c r="G8" s="88"/>
      <c r="H8" s="88" t="s">
        <v>467</v>
      </c>
      <c r="I8" s="88" t="s">
        <v>467</v>
      </c>
      <c r="J8" s="88"/>
      <c r="K8" s="78"/>
    </row>
    <row r="9" spans="1:11" s="77" customFormat="1" ht="12.6" customHeight="1" x14ac:dyDescent="0.25">
      <c r="A9" s="80"/>
      <c r="C9" s="87" t="s">
        <v>468</v>
      </c>
      <c r="D9" s="88"/>
      <c r="E9" s="87" t="s">
        <v>468</v>
      </c>
      <c r="F9" s="87" t="s">
        <v>469</v>
      </c>
      <c r="G9" s="88"/>
      <c r="H9" s="88" t="s">
        <v>569</v>
      </c>
      <c r="I9" s="88" t="s">
        <v>490</v>
      </c>
      <c r="J9" s="88"/>
      <c r="K9" s="78"/>
    </row>
    <row r="10" spans="1:11" s="77" customFormat="1" ht="12.6" customHeight="1" x14ac:dyDescent="0.25">
      <c r="A10" s="89"/>
      <c r="C10" s="87"/>
      <c r="D10" s="88"/>
      <c r="E10" s="87"/>
      <c r="F10" s="87"/>
      <c r="G10" s="88"/>
      <c r="H10" s="90"/>
      <c r="I10" s="88"/>
      <c r="J10" s="88"/>
      <c r="K10" s="78"/>
    </row>
    <row r="11" spans="1:11" s="77" customFormat="1" ht="15" x14ac:dyDescent="0.25">
      <c r="A11" s="89" t="s">
        <v>509</v>
      </c>
      <c r="C11" s="88"/>
      <c r="D11" s="88"/>
      <c r="E11" s="88"/>
      <c r="F11" s="88"/>
      <c r="G11" s="88"/>
      <c r="H11" s="90"/>
      <c r="K11" s="78"/>
    </row>
    <row r="12" spans="1:11" ht="15" x14ac:dyDescent="0.25">
      <c r="A12" s="77" t="s">
        <v>488</v>
      </c>
      <c r="B12" s="77"/>
      <c r="C12" s="91">
        <f>'Kendall Apts'!D11</f>
        <v>-150140</v>
      </c>
      <c r="D12" s="91"/>
      <c r="E12" s="91">
        <f>'Kendall Apts'!I11</f>
        <v>-150639.57</v>
      </c>
      <c r="F12" s="91">
        <f>'Kendall Apts'!J11</f>
        <v>-12553.297499999999</v>
      </c>
      <c r="G12" s="91"/>
      <c r="H12" s="91">
        <f>'Kendall Apts'!G11</f>
        <v>-12824.555555555555</v>
      </c>
      <c r="I12" s="91">
        <f>'Kendall Apts'!E11</f>
        <v>-115421</v>
      </c>
      <c r="J12" s="92"/>
    </row>
    <row r="13" spans="1:11" ht="15" x14ac:dyDescent="0.25">
      <c r="A13" s="77" t="s">
        <v>491</v>
      </c>
      <c r="B13" s="77"/>
      <c r="C13" s="91">
        <f>'Mtn View'!D12</f>
        <v>-97129.900000000009</v>
      </c>
      <c r="D13" s="91"/>
      <c r="E13" s="91">
        <f>'Mtn View'!I12</f>
        <v>-126760</v>
      </c>
      <c r="F13" s="91">
        <f>'Mtn View'!J12</f>
        <v>-8313.3333333333339</v>
      </c>
      <c r="G13" s="91"/>
      <c r="H13" s="91">
        <f>'Mtn View'!F12</f>
        <v>-8896.7777777777756</v>
      </c>
      <c r="I13" s="91">
        <f>'Mtn View'!E12</f>
        <v>-77046</v>
      </c>
      <c r="J13" s="92"/>
    </row>
    <row r="14" spans="1:11" ht="15" x14ac:dyDescent="0.25">
      <c r="A14" s="77" t="s">
        <v>492</v>
      </c>
      <c r="B14" s="77"/>
      <c r="C14" s="95">
        <f>Vouchers!D12</f>
        <v>-10482560</v>
      </c>
      <c r="D14" s="95"/>
      <c r="E14" s="95">
        <f>Vouchers!I12</f>
        <v>-11225890</v>
      </c>
      <c r="F14" s="95">
        <f>Vouchers!J12</f>
        <v>-935490.83333333337</v>
      </c>
      <c r="G14" s="95"/>
      <c r="H14" s="95">
        <f>Vouchers!F12</f>
        <v>-931645.33333333326</v>
      </c>
      <c r="I14" s="95">
        <f>Vouchers!E12</f>
        <v>-8384808</v>
      </c>
    </row>
    <row r="15" spans="1:11" ht="15" x14ac:dyDescent="0.25">
      <c r="A15" s="78" t="s">
        <v>494</v>
      </c>
      <c r="B15" s="77"/>
      <c r="C15" s="95">
        <f>Rehab!D15</f>
        <v>-512569.92524444446</v>
      </c>
      <c r="D15" s="95"/>
      <c r="E15" s="95">
        <f>Rehab!I15</f>
        <v>-516310</v>
      </c>
      <c r="F15" s="95">
        <f>Rehab!J15</f>
        <v>-43025.833333333336</v>
      </c>
      <c r="G15" s="95"/>
      <c r="H15" s="95">
        <f>Rehab!F15</f>
        <v>-44142.888888888891</v>
      </c>
      <c r="I15" s="95">
        <f>Rehab!E15</f>
        <v>-397286</v>
      </c>
    </row>
    <row r="16" spans="1:11" ht="15" x14ac:dyDescent="0.25">
      <c r="A16" s="78" t="s">
        <v>240</v>
      </c>
      <c r="B16" s="77"/>
      <c r="C16" s="95">
        <f>'Caesar Sq'!D18</f>
        <v>-923460</v>
      </c>
      <c r="D16" s="95"/>
      <c r="E16" s="95">
        <f>'Caesar Sq'!I18</f>
        <v>-958420</v>
      </c>
      <c r="F16" s="95">
        <f>'Caesar Sq'!J18</f>
        <v>-79868.333333333328</v>
      </c>
      <c r="G16" s="95"/>
      <c r="H16" s="95">
        <f>'Caesar Sq'!F18</f>
        <v>-80306.555555555577</v>
      </c>
      <c r="I16" s="95">
        <f>'Caesar Sq'!E18</f>
        <v>-722759</v>
      </c>
    </row>
    <row r="17" spans="1:10" ht="15" x14ac:dyDescent="0.25">
      <c r="A17" s="78" t="s">
        <v>495</v>
      </c>
      <c r="B17" s="77"/>
      <c r="C17" s="95">
        <f>'Aspen Ridge'!D13</f>
        <v>-998180</v>
      </c>
      <c r="D17" s="95"/>
      <c r="E17" s="95">
        <f>'Aspen Ridge'!I13</f>
        <v>-1056240</v>
      </c>
      <c r="F17" s="95">
        <f>'Aspen Ridge'!J13</f>
        <v>-88019.999999999971</v>
      </c>
      <c r="G17" s="95"/>
      <c r="H17" s="95">
        <f>'Aspen Ridge'!F13</f>
        <v>-88101.444444444423</v>
      </c>
      <c r="I17" s="95">
        <f>'Aspen Ridge'!E13</f>
        <v>-792913</v>
      </c>
      <c r="J17" s="96"/>
    </row>
    <row r="18" spans="1:10" ht="15" x14ac:dyDescent="0.25">
      <c r="A18" s="77" t="s">
        <v>496</v>
      </c>
      <c r="B18" s="77"/>
      <c r="C18" s="95">
        <f>'Redwood Village'!D14</f>
        <v>-398490</v>
      </c>
      <c r="D18" s="95"/>
      <c r="E18" s="95">
        <f>'Redwood Village'!I14</f>
        <v>-411830</v>
      </c>
      <c r="F18" s="95">
        <f>'Redwood Village'!J14</f>
        <v>-34319.166666666672</v>
      </c>
      <c r="G18" s="95"/>
      <c r="H18" s="95">
        <f>'Redwood Village'!F14</f>
        <v>-35009.666666666672</v>
      </c>
      <c r="I18" s="95">
        <f>'Redwood Village'!E14</f>
        <v>-315087</v>
      </c>
    </row>
    <row r="19" spans="1:10" ht="15" x14ac:dyDescent="0.25">
      <c r="A19" s="77" t="s">
        <v>497</v>
      </c>
      <c r="B19" s="77"/>
      <c r="C19" s="95">
        <f>'Green Ridge'!D15</f>
        <v>-694180</v>
      </c>
      <c r="D19" s="95"/>
      <c r="E19" s="95">
        <f>'Green Ridge'!I15</f>
        <v>-698620</v>
      </c>
      <c r="F19" s="95">
        <f>'Green Ridge'!J15</f>
        <v>-58218.333333333336</v>
      </c>
      <c r="G19" s="95"/>
      <c r="H19" s="95">
        <f>'Green Ridge'!F15</f>
        <v>-57820.666666666672</v>
      </c>
      <c r="I19" s="95">
        <f>'Green Ridge'!E15</f>
        <v>-520386</v>
      </c>
    </row>
    <row r="20" spans="1:10" ht="15" x14ac:dyDescent="0.25">
      <c r="A20" s="77" t="s">
        <v>498</v>
      </c>
      <c r="B20" s="77"/>
      <c r="C20" s="95">
        <f>Glendale!D15</f>
        <v>-1124160</v>
      </c>
      <c r="D20" s="95"/>
      <c r="E20" s="95">
        <f>Glendale!I15</f>
        <v>-1148925</v>
      </c>
      <c r="F20" s="95">
        <f>Glendale!J15</f>
        <v>-95743.750000000015</v>
      </c>
      <c r="G20" s="95"/>
      <c r="H20" s="95">
        <f>Glendale!F15</f>
        <v>-95358.333333333343</v>
      </c>
      <c r="I20" s="95">
        <f>Glendale!E15</f>
        <v>-858225</v>
      </c>
    </row>
    <row r="21" spans="1:10" ht="15" x14ac:dyDescent="0.25">
      <c r="A21" s="78" t="s">
        <v>499</v>
      </c>
      <c r="B21" s="77"/>
      <c r="C21" s="95">
        <f>'Viking Sq'!D15</f>
        <v>-479350</v>
      </c>
      <c r="D21" s="95"/>
      <c r="E21" s="95">
        <f>'Viking Sq'!I15</f>
        <v>-503420</v>
      </c>
      <c r="F21" s="95">
        <f>'Viking Sq'!J15</f>
        <v>-41951.666666666672</v>
      </c>
      <c r="G21" s="95"/>
      <c r="H21" s="95">
        <f>'Viking Sq'!F15</f>
        <v>-43038.444444444445</v>
      </c>
      <c r="I21" s="95">
        <f>'Viking Sq'!E15</f>
        <v>-387346</v>
      </c>
    </row>
    <row r="22" spans="1:10" ht="15" x14ac:dyDescent="0.25">
      <c r="A22" s="78" t="str">
        <f>A40</f>
        <v>Canyon Gate</v>
      </c>
      <c r="B22" s="77"/>
      <c r="C22" s="95">
        <f>'Canyon Gate'!D12</f>
        <v>-552799.5</v>
      </c>
      <c r="D22" s="95"/>
      <c r="E22" s="95">
        <f>'Canyon Gate'!I12</f>
        <v>-564150</v>
      </c>
      <c r="F22" s="95">
        <f>'Canyon Gate'!J12</f>
        <v>-47012.5</v>
      </c>
      <c r="G22" s="95"/>
      <c r="H22" s="95">
        <f>'Canyon Gate'!F12</f>
        <v>-46710.666666666664</v>
      </c>
      <c r="I22" s="95">
        <f>'Canyon Gate'!E12</f>
        <v>-420396</v>
      </c>
    </row>
    <row r="23" spans="1:10" ht="15" x14ac:dyDescent="0.25">
      <c r="A23" s="78" t="s">
        <v>501</v>
      </c>
      <c r="B23" s="77"/>
      <c r="C23" s="95">
        <f>'Lewis Ct'!D14</f>
        <v>-421386</v>
      </c>
      <c r="D23" s="95"/>
      <c r="E23" s="95">
        <f>'Lewis Ct'!I14</f>
        <v>-468900</v>
      </c>
      <c r="F23" s="95">
        <f>'Lewis Ct'!J14</f>
        <v>-39075.000000000007</v>
      </c>
      <c r="G23" s="95"/>
      <c r="H23" s="95">
        <f>'Lewis Ct'!F14</f>
        <v>-35498.548888888901</v>
      </c>
      <c r="I23" s="95">
        <f>'Lewis Ct'!E14</f>
        <v>-319486.94</v>
      </c>
    </row>
    <row r="24" spans="1:10" ht="15" x14ac:dyDescent="0.25">
      <c r="A24" s="78" t="s">
        <v>503</v>
      </c>
      <c r="B24" s="77"/>
      <c r="C24" s="95">
        <f>Harlan!D13</f>
        <v>0</v>
      </c>
      <c r="D24" s="95"/>
      <c r="E24" s="95">
        <f>Harlan!I13</f>
        <v>-50340</v>
      </c>
      <c r="F24" s="95">
        <f>Harlan!J13</f>
        <v>-4195</v>
      </c>
      <c r="G24" s="95"/>
      <c r="H24" s="95">
        <f>Harlan!F13</f>
        <v>-263.55555555555554</v>
      </c>
      <c r="I24" s="95">
        <f>Harlan!E13</f>
        <v>-2372</v>
      </c>
    </row>
    <row r="25" spans="1:10" ht="15" x14ac:dyDescent="0.25">
      <c r="A25" s="78" t="s">
        <v>504</v>
      </c>
      <c r="B25" s="77"/>
      <c r="C25" s="97">
        <f>'JCHA '!D26</f>
        <v>-568010</v>
      </c>
      <c r="D25" s="97"/>
      <c r="E25" s="97">
        <f>'JCHA '!I26</f>
        <v>-573388.80000000005</v>
      </c>
      <c r="F25" s="97">
        <f>'JCHA '!J26</f>
        <v>-47782.399999999994</v>
      </c>
      <c r="G25" s="97"/>
      <c r="H25" s="97">
        <f>'JCHA '!F26</f>
        <v>-43106.777777777781</v>
      </c>
      <c r="I25" s="97">
        <f>'JCHA '!E26</f>
        <v>-387961</v>
      </c>
    </row>
    <row r="26" spans="1:10" ht="15" x14ac:dyDescent="0.25">
      <c r="A26" s="78"/>
      <c r="B26" s="77"/>
      <c r="C26" s="77"/>
      <c r="D26" s="77"/>
      <c r="E26" s="77"/>
      <c r="F26" s="77"/>
      <c r="G26" s="77"/>
      <c r="H26" s="77"/>
      <c r="I26" s="77"/>
    </row>
    <row r="27" spans="1:10" ht="15" x14ac:dyDescent="0.25">
      <c r="A27" s="76" t="s">
        <v>81</v>
      </c>
      <c r="B27" s="77"/>
      <c r="C27" s="76">
        <f>SUM(C12:C25)</f>
        <v>-17402415.325244445</v>
      </c>
      <c r="D27" s="76"/>
      <c r="E27" s="76">
        <f>SUM(E12:E25)</f>
        <v>-18453833.370000001</v>
      </c>
      <c r="F27" s="76">
        <f>SUM(F12:F25)</f>
        <v>-1535569.4475</v>
      </c>
      <c r="G27" s="76"/>
      <c r="H27" s="76">
        <f>SUM(H12:H25)</f>
        <v>-1522724.2155555557</v>
      </c>
      <c r="I27" s="76">
        <f>SUM(I12:I25)</f>
        <v>-13701492.939999999</v>
      </c>
      <c r="J27" s="98"/>
    </row>
    <row r="28" spans="1:10" ht="15" x14ac:dyDescent="0.25">
      <c r="A28" s="77"/>
      <c r="B28" s="77"/>
      <c r="C28" s="77"/>
      <c r="D28" s="77"/>
      <c r="E28" s="77"/>
      <c r="F28" s="77"/>
      <c r="G28" s="77"/>
      <c r="H28" s="77"/>
      <c r="I28" s="77"/>
    </row>
    <row r="29" spans="1:10" ht="15" x14ac:dyDescent="0.25">
      <c r="A29" s="89" t="s">
        <v>510</v>
      </c>
      <c r="B29" s="77"/>
      <c r="C29" s="77"/>
      <c r="D29" s="77"/>
      <c r="E29" s="77"/>
      <c r="F29" s="77"/>
      <c r="G29" s="77"/>
      <c r="H29" s="77"/>
      <c r="I29" s="77"/>
    </row>
    <row r="30" spans="1:10" ht="15" x14ac:dyDescent="0.25">
      <c r="A30" s="77" t="str">
        <f t="shared" ref="A30:A39" si="0">A12</f>
        <v>Kendall</v>
      </c>
      <c r="B30" s="77"/>
      <c r="C30" s="95">
        <f>'Kendall Apts'!D19</f>
        <v>183090</v>
      </c>
      <c r="D30" s="95"/>
      <c r="E30" s="95">
        <f>'Kendall Apts'!I19</f>
        <v>165440</v>
      </c>
      <c r="F30" s="95">
        <f>'Kendall Apts'!J19</f>
        <v>13786.666666666666</v>
      </c>
      <c r="G30" s="95"/>
      <c r="H30" s="95">
        <f>'Kendall Apts'!G19</f>
        <v>14343.777777777777</v>
      </c>
      <c r="I30" s="95">
        <f>'Kendall Apts'!E19</f>
        <v>129094</v>
      </c>
    </row>
    <row r="31" spans="1:10" ht="15" x14ac:dyDescent="0.25">
      <c r="A31" s="77" t="str">
        <f t="shared" si="0"/>
        <v>Mountain View</v>
      </c>
      <c r="B31" s="77"/>
      <c r="C31" s="91">
        <f>'Mtn View'!D21</f>
        <v>129189.9</v>
      </c>
      <c r="D31" s="91"/>
      <c r="E31" s="91">
        <f>'Mtn View'!I21</f>
        <v>154336</v>
      </c>
      <c r="F31" s="91">
        <f>'Mtn View'!J21</f>
        <v>12861.333333333332</v>
      </c>
      <c r="G31" s="91"/>
      <c r="H31" s="91">
        <f>'Mtn View'!F21</f>
        <v>12687.444444444445</v>
      </c>
      <c r="I31" s="91">
        <f>'Mtn View'!E21</f>
        <v>114187</v>
      </c>
      <c r="J31" s="92"/>
    </row>
    <row r="32" spans="1:10" ht="15" x14ac:dyDescent="0.25">
      <c r="A32" s="77" t="str">
        <f t="shared" si="0"/>
        <v>Section 8</v>
      </c>
      <c r="B32" s="77"/>
      <c r="C32" s="95">
        <f>Vouchers!D20</f>
        <v>10484349.800000001</v>
      </c>
      <c r="D32" s="95"/>
      <c r="E32" s="95">
        <f>Vouchers!I20</f>
        <v>11227925</v>
      </c>
      <c r="F32" s="95">
        <f>Vouchers!J20</f>
        <v>935660.41666666674</v>
      </c>
      <c r="G32" s="95"/>
      <c r="H32" s="95">
        <f>Vouchers!F20</f>
        <v>927052</v>
      </c>
      <c r="I32" s="95">
        <f>Vouchers!E20</f>
        <v>8343468</v>
      </c>
    </row>
    <row r="33" spans="1:11" ht="15" x14ac:dyDescent="0.25">
      <c r="A33" s="78" t="str">
        <f t="shared" si="0"/>
        <v>Rehab</v>
      </c>
      <c r="B33" s="77"/>
      <c r="C33" s="95">
        <f>Rehab!D21</f>
        <v>512569.96620833327</v>
      </c>
      <c r="D33" s="95"/>
      <c r="E33" s="95">
        <f>Rehab!I21</f>
        <v>516310</v>
      </c>
      <c r="F33" s="95">
        <f>Rehab!J21</f>
        <v>43025.833333333328</v>
      </c>
      <c r="G33" s="95"/>
      <c r="H33" s="95">
        <f>Rehab!F21</f>
        <v>35497.333333333328</v>
      </c>
      <c r="I33" s="95">
        <f>Rehab!E21</f>
        <v>319476</v>
      </c>
    </row>
    <row r="34" spans="1:11" ht="15" x14ac:dyDescent="0.25">
      <c r="A34" s="78" t="str">
        <f t="shared" si="0"/>
        <v>Caesar Square</v>
      </c>
      <c r="B34" s="77"/>
      <c r="C34" s="95">
        <f>'Caesar Sq'!D27</f>
        <v>1018250.4</v>
      </c>
      <c r="D34" s="95"/>
      <c r="E34" s="95">
        <f>'Caesar Sq'!I27</f>
        <v>1053280</v>
      </c>
      <c r="F34" s="95">
        <f>'Caesar Sq'!J27</f>
        <v>87773.333333333343</v>
      </c>
      <c r="G34" s="95"/>
      <c r="H34" s="95">
        <f>'Caesar Sq'!F27</f>
        <v>92924.888888888891</v>
      </c>
      <c r="I34" s="95">
        <f>'Caesar Sq'!E27</f>
        <v>836324</v>
      </c>
    </row>
    <row r="35" spans="1:11" ht="15" x14ac:dyDescent="0.25">
      <c r="A35" s="78" t="str">
        <f t="shared" si="0"/>
        <v>Aspen Ridge</v>
      </c>
      <c r="B35" s="77"/>
      <c r="C35" s="95">
        <f>'Aspen Ridge'!D22</f>
        <v>1049089.6000000001</v>
      </c>
      <c r="D35" s="95"/>
      <c r="E35" s="95">
        <f>'Aspen Ridge'!I22</f>
        <v>1040790</v>
      </c>
      <c r="F35" s="95">
        <f>'Aspen Ridge'!J22</f>
        <v>86732.5</v>
      </c>
      <c r="G35" s="95"/>
      <c r="H35" s="95">
        <f>'Aspen Ridge'!F22</f>
        <v>87303.777777777796</v>
      </c>
      <c r="I35" s="95">
        <f>'Aspen Ridge'!E22</f>
        <v>785734</v>
      </c>
    </row>
    <row r="36" spans="1:11" ht="15" x14ac:dyDescent="0.25">
      <c r="A36" s="77" t="str">
        <f t="shared" si="0"/>
        <v>Redwood</v>
      </c>
      <c r="B36" s="77"/>
      <c r="C36" s="95">
        <f>'Redwood Village'!D23</f>
        <v>448270</v>
      </c>
      <c r="D36" s="95"/>
      <c r="E36" s="95">
        <f>'Redwood Village'!I23</f>
        <v>451374.09700000001</v>
      </c>
      <c r="F36" s="95">
        <f>'Redwood Village'!J23</f>
        <v>40114.508083333334</v>
      </c>
      <c r="G36" s="95"/>
      <c r="H36" s="95">
        <f>'Redwood Village'!F23</f>
        <v>35287.111111111109</v>
      </c>
      <c r="I36" s="95">
        <f>'Redwood Village'!E23</f>
        <v>317584</v>
      </c>
    </row>
    <row r="37" spans="1:11" ht="15" x14ac:dyDescent="0.25">
      <c r="A37" s="77" t="str">
        <f t="shared" si="0"/>
        <v>Green Ridge</v>
      </c>
      <c r="B37" s="77"/>
      <c r="C37" s="95">
        <f>'Green Ridge'!D24</f>
        <v>779320.4</v>
      </c>
      <c r="D37" s="95"/>
      <c r="E37" s="95">
        <f>'Green Ridge'!I24</f>
        <v>772410</v>
      </c>
      <c r="F37" s="95">
        <f>'Green Ridge'!J24</f>
        <v>64367.499999999993</v>
      </c>
      <c r="G37" s="95"/>
      <c r="H37" s="95">
        <f>'Green Ridge'!F24</f>
        <v>62801.222222222226</v>
      </c>
      <c r="I37" s="95">
        <f>'Green Ridge'!E24</f>
        <v>565211</v>
      </c>
    </row>
    <row r="38" spans="1:11" ht="15" x14ac:dyDescent="0.25">
      <c r="A38" s="77" t="str">
        <f t="shared" si="0"/>
        <v>Glendale</v>
      </c>
      <c r="B38" s="77"/>
      <c r="C38" s="95">
        <f>Glendale!D24</f>
        <v>1271510</v>
      </c>
      <c r="D38" s="95"/>
      <c r="E38" s="95">
        <f>Glendale!I24</f>
        <v>1348728</v>
      </c>
      <c r="F38" s="95">
        <f>Glendale!J24</f>
        <v>112394</v>
      </c>
      <c r="G38" s="95"/>
      <c r="H38" s="95">
        <f>Glendale!F24</f>
        <v>115112.22222222223</v>
      </c>
      <c r="I38" s="95">
        <f>Glendale!E24</f>
        <v>1036010</v>
      </c>
    </row>
    <row r="39" spans="1:11" ht="15" x14ac:dyDescent="0.25">
      <c r="A39" s="78" t="str">
        <f t="shared" si="0"/>
        <v>Viking Square</v>
      </c>
      <c r="B39" s="77"/>
      <c r="C39" s="95">
        <f>'Viking Sq'!D24</f>
        <v>510060</v>
      </c>
      <c r="D39" s="95"/>
      <c r="E39" s="95">
        <f>'Viking Sq'!I24</f>
        <v>482467</v>
      </c>
      <c r="F39" s="95">
        <f>'Viking Sq'!J24</f>
        <v>40205.583333333336</v>
      </c>
      <c r="G39" s="95"/>
      <c r="H39" s="95">
        <f>'Viking Sq'!F24</f>
        <v>40028.444444444438</v>
      </c>
      <c r="I39" s="95">
        <f>'Viking Sq'!E24</f>
        <v>360256</v>
      </c>
    </row>
    <row r="40" spans="1:11" ht="15" x14ac:dyDescent="0.25">
      <c r="A40" s="78" t="s">
        <v>500</v>
      </c>
      <c r="B40" s="77"/>
      <c r="C40" s="95">
        <f>'Canyon Gate'!D21</f>
        <v>538289.80000000005</v>
      </c>
      <c r="D40" s="95"/>
      <c r="E40" s="95">
        <f>'Canyon Gate'!I21</f>
        <v>568120</v>
      </c>
      <c r="F40" s="95">
        <f>'Canyon Gate'!J21</f>
        <v>47343.333333333328</v>
      </c>
      <c r="G40" s="95"/>
      <c r="H40" s="95">
        <f>'Canyon Gate'!F21</f>
        <v>45313.333333333336</v>
      </c>
      <c r="I40" s="95">
        <f>'Canyon Gate'!E21</f>
        <v>407820</v>
      </c>
    </row>
    <row r="41" spans="1:11" ht="15" x14ac:dyDescent="0.25">
      <c r="A41" s="78" t="str">
        <f>A23</f>
        <v>Lewis Court</v>
      </c>
      <c r="B41" s="77"/>
      <c r="C41" s="95">
        <f>'Lewis Ct'!D23</f>
        <v>772522</v>
      </c>
      <c r="D41" s="95"/>
      <c r="E41" s="95">
        <f>'Lewis Ct'!I23</f>
        <v>731110.06186666666</v>
      </c>
      <c r="F41" s="95">
        <f>'Lewis Ct'!J23</f>
        <v>60925.83848888889</v>
      </c>
      <c r="G41" s="95"/>
      <c r="H41" s="95">
        <f>'Lewis Ct'!F23</f>
        <v>67060.808888888903</v>
      </c>
      <c r="I41" s="95">
        <f>'Lewis Ct'!E23</f>
        <v>603547.28</v>
      </c>
    </row>
    <row r="42" spans="1:11" ht="15" x14ac:dyDescent="0.25">
      <c r="A42" s="78" t="str">
        <f>A24</f>
        <v>Harlan St</v>
      </c>
      <c r="B42" s="77"/>
      <c r="C42" s="95">
        <f>Harlan!D22</f>
        <v>0</v>
      </c>
      <c r="D42" s="95"/>
      <c r="E42" s="95">
        <f>Harlan!I22</f>
        <v>69040</v>
      </c>
      <c r="F42" s="95">
        <f>Harlan!J22</f>
        <v>5745</v>
      </c>
      <c r="G42" s="95"/>
      <c r="H42" s="95">
        <f>Harlan!F22</f>
        <v>1915.8888888888887</v>
      </c>
      <c r="I42" s="95">
        <f>Harlan!E22</f>
        <v>17243</v>
      </c>
    </row>
    <row r="43" spans="1:11" ht="15" x14ac:dyDescent="0.25">
      <c r="A43" s="78" t="str">
        <f>A25</f>
        <v>JCHA</v>
      </c>
      <c r="B43" s="77"/>
      <c r="C43" s="95">
        <f>'JCHA '!D33</f>
        <v>588920</v>
      </c>
      <c r="D43" s="95"/>
      <c r="E43" s="95">
        <f>'JCHA '!I33</f>
        <v>585650</v>
      </c>
      <c r="F43" s="95">
        <f>'JCHA '!J33</f>
        <v>48804.166666666672</v>
      </c>
      <c r="G43" s="95"/>
      <c r="H43" s="95">
        <f>'JCHA '!F33</f>
        <v>62373.333333333328</v>
      </c>
      <c r="I43" s="95">
        <f>'JCHA '!E33</f>
        <v>561360</v>
      </c>
    </row>
    <row r="44" spans="1:11" ht="15" x14ac:dyDescent="0.25">
      <c r="A44" s="77"/>
      <c r="B44" s="77"/>
      <c r="C44" s="95"/>
      <c r="D44" s="95"/>
      <c r="E44" s="95"/>
      <c r="F44" s="95"/>
      <c r="G44" s="95"/>
      <c r="H44" s="95"/>
      <c r="I44" s="95"/>
    </row>
    <row r="45" spans="1:11" s="102" customFormat="1" ht="15.75" thickBot="1" x14ac:dyDescent="0.3">
      <c r="A45" s="99" t="s">
        <v>86</v>
      </c>
      <c r="B45" s="100"/>
      <c r="C45" s="101">
        <f>SUM(C30:C44)</f>
        <v>18285431.866208334</v>
      </c>
      <c r="D45" s="101"/>
      <c r="E45" s="101">
        <f>SUM(E30:E44)</f>
        <v>19166980.158866666</v>
      </c>
      <c r="F45" s="101">
        <f>SUM(F30:F44)</f>
        <v>1599740.0132388889</v>
      </c>
      <c r="G45" s="101"/>
      <c r="H45" s="101">
        <f>SUM(H30:H44)</f>
        <v>1599701.5866666667</v>
      </c>
      <c r="I45" s="101">
        <f>SUM(I30:I44)</f>
        <v>14397314.279999999</v>
      </c>
    </row>
    <row r="46" spans="1:11" s="107" customFormat="1" ht="16.5" thickTop="1" thickBot="1" x14ac:dyDescent="0.3">
      <c r="A46" s="103" t="s">
        <v>87</v>
      </c>
      <c r="B46" s="103"/>
      <c r="C46" s="104">
        <f>SUM(C27+C45)</f>
        <v>883016.54096388817</v>
      </c>
      <c r="D46" s="104"/>
      <c r="E46" s="104">
        <f>SUM(E27+E45)</f>
        <v>713146.78886666521</v>
      </c>
      <c r="F46" s="104">
        <f>SUM(F27+F45)</f>
        <v>64170.565738888923</v>
      </c>
      <c r="G46" s="104"/>
      <c r="H46" s="104">
        <f>SUM(H27+H45)</f>
        <v>76977.371111111017</v>
      </c>
      <c r="I46" s="104">
        <f>SUM(I27+I45)</f>
        <v>695821.33999999985</v>
      </c>
      <c r="J46" s="105"/>
      <c r="K46" s="106"/>
    </row>
    <row r="47" spans="1:11" ht="15.75" thickTop="1" x14ac:dyDescent="0.25">
      <c r="A47" s="77"/>
      <c r="B47" s="77"/>
      <c r="C47" s="77"/>
      <c r="D47" s="77"/>
      <c r="E47" s="77"/>
      <c r="F47" s="77"/>
      <c r="G47" s="77"/>
      <c r="H47" s="77"/>
      <c r="I47" s="77"/>
    </row>
    <row r="48" spans="1:11" ht="15" x14ac:dyDescent="0.25">
      <c r="A48" s="77"/>
      <c r="B48" s="77"/>
      <c r="C48" s="77"/>
      <c r="D48" s="77"/>
      <c r="E48" s="77"/>
      <c r="F48" s="77"/>
      <c r="G48" s="77"/>
      <c r="H48" s="77"/>
      <c r="I48" s="77"/>
    </row>
    <row r="49" spans="1:10" ht="12.6" customHeight="1" x14ac:dyDescent="0.25">
      <c r="A49" s="89"/>
      <c r="B49" s="77"/>
      <c r="C49" s="87"/>
      <c r="D49" s="88"/>
      <c r="E49" s="87"/>
      <c r="F49" s="87"/>
      <c r="G49" s="88"/>
      <c r="H49" s="90"/>
      <c r="I49" s="88"/>
      <c r="J49" s="108"/>
    </row>
    <row r="50" spans="1:10" ht="15" x14ac:dyDescent="0.25">
      <c r="A50" s="89" t="s">
        <v>454</v>
      </c>
      <c r="B50" s="77"/>
      <c r="C50" s="77"/>
      <c r="D50" s="77"/>
      <c r="E50" s="77"/>
      <c r="F50" s="77"/>
      <c r="G50" s="77"/>
      <c r="H50" s="77"/>
      <c r="I50" s="77"/>
    </row>
    <row r="51" spans="1:10" ht="15" x14ac:dyDescent="0.25">
      <c r="A51" s="89"/>
      <c r="B51" s="77"/>
      <c r="C51" s="77"/>
      <c r="D51" s="77"/>
      <c r="E51" s="77"/>
      <c r="F51" s="77"/>
      <c r="G51" s="77"/>
      <c r="H51" s="77"/>
      <c r="I51" s="77"/>
    </row>
    <row r="52" spans="1:10" ht="15" x14ac:dyDescent="0.25">
      <c r="A52" s="77" t="s">
        <v>488</v>
      </c>
      <c r="B52" s="77"/>
      <c r="C52" s="95">
        <f>'Kendall Apts'!D34</f>
        <v>16580</v>
      </c>
      <c r="D52" s="95"/>
      <c r="E52" s="95">
        <f>'Kendall Apts'!I34</f>
        <v>15850</v>
      </c>
      <c r="F52" s="95">
        <f>'Kendall Apts'!J34</f>
        <v>1320.8333333333333</v>
      </c>
      <c r="G52" s="95"/>
      <c r="H52" s="95">
        <f>'Kendall Apts'!G34</f>
        <v>1223.4444444444446</v>
      </c>
      <c r="I52" s="95">
        <f>'Kendall Apts'!E34</f>
        <v>11011</v>
      </c>
    </row>
    <row r="53" spans="1:10" ht="15" x14ac:dyDescent="0.25">
      <c r="A53" s="77" t="str">
        <f>A13</f>
        <v>Mountain View</v>
      </c>
      <c r="B53" s="77"/>
      <c r="C53" s="95">
        <f>'Mtn View'!D35</f>
        <v>7619.9</v>
      </c>
      <c r="D53" s="95"/>
      <c r="E53" s="95">
        <f>'Mtn View'!I35</f>
        <v>7570</v>
      </c>
      <c r="F53" s="95">
        <f>'Mtn View'!J35</f>
        <v>630.83333333333337</v>
      </c>
      <c r="G53" s="95"/>
      <c r="H53" s="95">
        <f>'Mtn View'!F35</f>
        <v>600.11111111111109</v>
      </c>
      <c r="I53" s="95">
        <f>'Mtn View'!E35</f>
        <v>5401</v>
      </c>
    </row>
    <row r="54" spans="1:10" ht="15" x14ac:dyDescent="0.25">
      <c r="A54" s="77" t="str">
        <f t="shared" ref="A54:A65" si="1">A32</f>
        <v>Section 8</v>
      </c>
      <c r="B54" s="77"/>
      <c r="C54" s="95">
        <f>Vouchers!D41</f>
        <v>623420</v>
      </c>
      <c r="D54" s="95"/>
      <c r="E54" s="95">
        <f>Vouchers!I41</f>
        <v>647260</v>
      </c>
      <c r="F54" s="95">
        <f>Vouchers!J41</f>
        <v>53938.333333333343</v>
      </c>
      <c r="G54" s="95"/>
      <c r="H54" s="95">
        <f>Vouchers!F41</f>
        <v>53071.222222222226</v>
      </c>
      <c r="I54" s="95">
        <f>Vouchers!E41</f>
        <v>477641</v>
      </c>
    </row>
    <row r="55" spans="1:10" ht="15" x14ac:dyDescent="0.25">
      <c r="A55" s="78" t="str">
        <f t="shared" si="1"/>
        <v>Rehab</v>
      </c>
      <c r="B55" s="77"/>
      <c r="C55" s="95">
        <f>Rehab!D37</f>
        <v>254800.21429999999</v>
      </c>
      <c r="D55" s="95"/>
      <c r="E55" s="95">
        <f>Rehab!I37</f>
        <v>272010</v>
      </c>
      <c r="F55" s="95">
        <f>Rehab!J37</f>
        <v>22667.5</v>
      </c>
      <c r="G55" s="95"/>
      <c r="H55" s="95">
        <f>Rehab!F37</f>
        <v>15525.666666666668</v>
      </c>
      <c r="I55" s="95">
        <f>Rehab!E37</f>
        <v>139731</v>
      </c>
    </row>
    <row r="56" spans="1:10" ht="15" x14ac:dyDescent="0.25">
      <c r="A56" s="78" t="str">
        <f t="shared" si="1"/>
        <v>Caesar Square</v>
      </c>
      <c r="B56" s="77"/>
      <c r="C56" s="95">
        <f>'Caesar Sq'!D46</f>
        <v>126420.4</v>
      </c>
      <c r="D56" s="95"/>
      <c r="E56" s="95">
        <f>'Caesar Sq'!I46</f>
        <v>134630</v>
      </c>
      <c r="F56" s="95">
        <f>'Caesar Sq'!J46</f>
        <v>11219.166666666666</v>
      </c>
      <c r="G56" s="95"/>
      <c r="H56" s="95">
        <f>'Caesar Sq'!F46</f>
        <v>10925.444444444445</v>
      </c>
      <c r="I56" s="95">
        <f>'Caesar Sq'!E46</f>
        <v>98329</v>
      </c>
    </row>
    <row r="57" spans="1:10" ht="15" x14ac:dyDescent="0.25">
      <c r="A57" s="78" t="str">
        <f t="shared" si="1"/>
        <v>Aspen Ridge</v>
      </c>
      <c r="B57" s="77"/>
      <c r="C57" s="95">
        <f>'Aspen Ridge'!D41</f>
        <v>165190.10000000003</v>
      </c>
      <c r="D57" s="95"/>
      <c r="E57" s="95">
        <f>'Aspen Ridge'!I41</f>
        <v>156690</v>
      </c>
      <c r="F57" s="95">
        <f>'Aspen Ridge'!J41</f>
        <v>13057.5</v>
      </c>
      <c r="G57" s="95"/>
      <c r="H57" s="95">
        <f>'Aspen Ridge'!F41</f>
        <v>14881.222222222223</v>
      </c>
      <c r="I57" s="95">
        <f>'Aspen Ridge'!E41</f>
        <v>133931</v>
      </c>
    </row>
    <row r="58" spans="1:10" ht="15" x14ac:dyDescent="0.25">
      <c r="A58" s="77" t="str">
        <f t="shared" si="1"/>
        <v>Redwood</v>
      </c>
      <c r="B58" s="109"/>
      <c r="C58" s="91">
        <f>'Redwood Village'!D43</f>
        <v>72110.3</v>
      </c>
      <c r="D58" s="91"/>
      <c r="E58" s="91">
        <f>'Redwood Village'!I43</f>
        <v>77420.096999999994</v>
      </c>
      <c r="F58" s="91">
        <f>'Redwood Village'!J43</f>
        <v>6451.6747500000001</v>
      </c>
      <c r="G58" s="91"/>
      <c r="H58" s="91">
        <f>'Redwood Village'!F43</f>
        <v>6296.7777777777783</v>
      </c>
      <c r="I58" s="91">
        <f>'Redwood Village'!E43</f>
        <v>56671</v>
      </c>
      <c r="J58" s="92"/>
    </row>
    <row r="59" spans="1:10" ht="15" x14ac:dyDescent="0.25">
      <c r="A59" s="77" t="str">
        <f t="shared" si="1"/>
        <v>Green Ridge</v>
      </c>
      <c r="B59" s="77"/>
      <c r="C59" s="95">
        <f>'Green Ridge'!D45</f>
        <v>154950.39999999999</v>
      </c>
      <c r="D59" s="95"/>
      <c r="E59" s="95">
        <f>'Green Ridge'!I45</f>
        <v>167330</v>
      </c>
      <c r="F59" s="95">
        <f>'Green Ridge'!J45</f>
        <v>13944.166666666664</v>
      </c>
      <c r="G59" s="95"/>
      <c r="H59" s="95">
        <f>'Green Ridge'!F45</f>
        <v>13552.000000000002</v>
      </c>
      <c r="I59" s="95">
        <f>'Green Ridge'!E45</f>
        <v>121968</v>
      </c>
    </row>
    <row r="60" spans="1:10" ht="15" x14ac:dyDescent="0.25">
      <c r="A60" s="77" t="str">
        <f t="shared" si="1"/>
        <v>Glendale</v>
      </c>
      <c r="B60" s="77"/>
      <c r="C60" s="95">
        <f>Glendale!D46</f>
        <v>170190</v>
      </c>
      <c r="D60" s="95"/>
      <c r="E60" s="95">
        <f>Glendale!I46</f>
        <v>167730</v>
      </c>
      <c r="F60" s="95">
        <f>Glendale!J46</f>
        <v>13977.499999999998</v>
      </c>
      <c r="G60" s="95"/>
      <c r="H60" s="95">
        <f>Glendale!F46</f>
        <v>14052.111111111113</v>
      </c>
      <c r="I60" s="95">
        <f>Glendale!E46</f>
        <v>126469</v>
      </c>
    </row>
    <row r="61" spans="1:10" ht="15" x14ac:dyDescent="0.25">
      <c r="A61" s="78" t="str">
        <f t="shared" si="1"/>
        <v>Viking Square</v>
      </c>
      <c r="B61" s="77"/>
      <c r="C61" s="95">
        <f>'Viking Sq'!D42</f>
        <v>36680</v>
      </c>
      <c r="D61" s="95"/>
      <c r="E61" s="95">
        <f>'Viking Sq'!I42</f>
        <v>54200</v>
      </c>
      <c r="F61" s="95">
        <f>'Viking Sq'!J42</f>
        <v>4516.6666666666661</v>
      </c>
      <c r="G61" s="95"/>
      <c r="H61" s="95">
        <f>'Viking Sq'!F42</f>
        <v>3390.666666666667</v>
      </c>
      <c r="I61" s="95">
        <f>'Viking Sq'!E42</f>
        <v>30516</v>
      </c>
    </row>
    <row r="62" spans="1:10" ht="15" x14ac:dyDescent="0.25">
      <c r="A62" s="78" t="str">
        <f t="shared" si="1"/>
        <v>Canyon Gate</v>
      </c>
      <c r="B62" s="77"/>
      <c r="C62" s="95">
        <f>'Canyon Gate'!D42</f>
        <v>113030</v>
      </c>
      <c r="D62" s="95"/>
      <c r="E62" s="95">
        <f>'Canyon Gate'!I42</f>
        <v>125310</v>
      </c>
      <c r="F62" s="95">
        <f>'Canyon Gate'!J42</f>
        <v>10442.499999999998</v>
      </c>
      <c r="G62" s="95"/>
      <c r="H62" s="95">
        <f>'Canyon Gate'!F42</f>
        <v>11244.111111111111</v>
      </c>
      <c r="I62" s="95">
        <f>'Canyon Gate'!E42</f>
        <v>101197</v>
      </c>
    </row>
    <row r="63" spans="1:10" ht="15" x14ac:dyDescent="0.25">
      <c r="A63" s="78" t="str">
        <f t="shared" si="1"/>
        <v>Lewis Court</v>
      </c>
      <c r="B63" s="77"/>
      <c r="C63" s="95">
        <f>'Lewis Ct'!D47</f>
        <v>136815</v>
      </c>
      <c r="D63" s="95"/>
      <c r="E63" s="95">
        <f>'Lewis Ct'!I47</f>
        <v>144430.264</v>
      </c>
      <c r="F63" s="95">
        <f>'Lewis Ct'!J47</f>
        <v>12035.855333333335</v>
      </c>
      <c r="G63" s="95"/>
      <c r="H63" s="95">
        <f>'Lewis Ct'!F47</f>
        <v>11789.488888888889</v>
      </c>
      <c r="I63" s="95">
        <f>'Lewis Ct'!E47</f>
        <v>106105.39999999998</v>
      </c>
    </row>
    <row r="64" spans="1:10" ht="15" x14ac:dyDescent="0.25">
      <c r="A64" s="78" t="str">
        <f t="shared" si="1"/>
        <v>Harlan St</v>
      </c>
      <c r="B64" s="77"/>
      <c r="C64" s="95">
        <f>Harlan!D45</f>
        <v>0</v>
      </c>
      <c r="D64" s="95"/>
      <c r="E64" s="95">
        <f>Harlan!I45</f>
        <v>4690</v>
      </c>
      <c r="F64" s="95">
        <f>Harlan!J45</f>
        <v>382.5</v>
      </c>
      <c r="G64" s="95"/>
      <c r="H64" s="95">
        <f>Harlan!F45</f>
        <v>1174.4444444444443</v>
      </c>
      <c r="I64" s="95">
        <f>Harlan!E45</f>
        <v>10570</v>
      </c>
    </row>
    <row r="65" spans="1:10" ht="15" x14ac:dyDescent="0.25">
      <c r="A65" s="78" t="str">
        <f t="shared" si="1"/>
        <v>JCHA</v>
      </c>
      <c r="B65" s="77"/>
      <c r="C65" s="97">
        <f>'JCHA '!D58</f>
        <v>363650</v>
      </c>
      <c r="D65" s="97"/>
      <c r="E65" s="97">
        <f>'JCHA '!I58</f>
        <v>339620</v>
      </c>
      <c r="F65" s="97">
        <f>'JCHA '!J58</f>
        <v>28301.666666666672</v>
      </c>
      <c r="G65" s="97"/>
      <c r="H65" s="97">
        <f>'JCHA '!F58</f>
        <v>45782.999999999993</v>
      </c>
      <c r="I65" s="97">
        <f>'JCHA '!E58</f>
        <v>412047</v>
      </c>
    </row>
    <row r="66" spans="1:10" ht="15" x14ac:dyDescent="0.25">
      <c r="A66" s="77"/>
      <c r="B66" s="77"/>
      <c r="C66" s="109"/>
      <c r="D66" s="77"/>
      <c r="E66" s="109"/>
      <c r="F66" s="77"/>
      <c r="G66" s="77"/>
      <c r="H66" s="77"/>
      <c r="I66" s="77"/>
    </row>
    <row r="67" spans="1:10" ht="15.75" thickBot="1" x14ac:dyDescent="0.3">
      <c r="A67" s="76" t="s">
        <v>511</v>
      </c>
      <c r="B67" s="77"/>
      <c r="C67" s="104">
        <f t="shared" ref="C67" si="2">SUM(C52:C66)</f>
        <v>2241456.3142999997</v>
      </c>
      <c r="D67" s="104"/>
      <c r="E67" s="104">
        <f t="shared" ref="E67:I67" si="3">SUM(E52:E66)</f>
        <v>2314740.361</v>
      </c>
      <c r="F67" s="104">
        <f t="shared" si="3"/>
        <v>192886.69675</v>
      </c>
      <c r="G67" s="104"/>
      <c r="H67" s="104">
        <f t="shared" si="3"/>
        <v>203509.71111111113</v>
      </c>
      <c r="I67" s="104">
        <f t="shared" si="3"/>
        <v>1831587.4</v>
      </c>
      <c r="J67" s="98"/>
    </row>
    <row r="68" spans="1:10" ht="15.75" thickTop="1" x14ac:dyDescent="0.25">
      <c r="A68" s="77"/>
      <c r="B68" s="77"/>
      <c r="C68" s="77"/>
      <c r="D68" s="77"/>
      <c r="E68" s="77"/>
      <c r="F68" s="77"/>
      <c r="G68" s="77"/>
      <c r="H68" s="77" t="s">
        <v>470</v>
      </c>
      <c r="I68" s="77"/>
    </row>
    <row r="69" spans="1:10" ht="15" x14ac:dyDescent="0.25">
      <c r="A69" s="89" t="s">
        <v>455</v>
      </c>
      <c r="B69" s="77"/>
      <c r="C69" s="77"/>
      <c r="D69" s="77"/>
      <c r="E69" s="77"/>
      <c r="F69" s="77"/>
      <c r="G69" s="77"/>
      <c r="H69" s="77" t="s">
        <v>470</v>
      </c>
      <c r="I69" s="77"/>
    </row>
    <row r="70" spans="1:10" ht="15" x14ac:dyDescent="0.25">
      <c r="A70" s="77" t="s">
        <v>488</v>
      </c>
      <c r="B70" s="77"/>
      <c r="C70" s="95">
        <f>'Kendall Apts'!D41</f>
        <v>14790</v>
      </c>
      <c r="D70" s="95"/>
      <c r="E70" s="95">
        <f>'Kendall Apts'!I41</f>
        <v>9880</v>
      </c>
      <c r="F70" s="95">
        <f>'Kendall Apts'!J41</f>
        <v>823.33333333333337</v>
      </c>
      <c r="G70" s="95"/>
      <c r="H70" s="95">
        <f>'Kendall Apts'!G41</f>
        <v>798.88888888888891</v>
      </c>
      <c r="I70" s="95">
        <f>'Kendall Apts'!E41</f>
        <v>7190</v>
      </c>
    </row>
    <row r="71" spans="1:10" ht="15" x14ac:dyDescent="0.25">
      <c r="A71" s="77" t="str">
        <f t="shared" ref="A71:A83" si="4">A53</f>
        <v>Mountain View</v>
      </c>
      <c r="B71" s="77"/>
      <c r="C71" s="95">
        <f>'Mtn View'!D42</f>
        <v>4680</v>
      </c>
      <c r="D71" s="95"/>
      <c r="E71" s="95">
        <f>'Mtn View'!I42</f>
        <v>5670</v>
      </c>
      <c r="F71" s="95">
        <f>'Mtn View'!J42</f>
        <v>472.5</v>
      </c>
      <c r="G71" s="95"/>
      <c r="H71" s="95">
        <f>'Mtn View'!F42</f>
        <v>454</v>
      </c>
      <c r="I71" s="95">
        <f>'Mtn View'!E42</f>
        <v>4086</v>
      </c>
    </row>
    <row r="72" spans="1:10" ht="15" hidden="1" x14ac:dyDescent="0.25">
      <c r="A72" s="77" t="str">
        <f t="shared" si="4"/>
        <v>Section 8</v>
      </c>
      <c r="B72" s="77"/>
      <c r="C72" s="95">
        <v>0</v>
      </c>
      <c r="D72" s="95"/>
      <c r="E72" s="95">
        <v>0</v>
      </c>
      <c r="F72" s="95">
        <v>0</v>
      </c>
      <c r="G72" s="95"/>
      <c r="H72" s="95">
        <v>0</v>
      </c>
      <c r="I72" s="95">
        <v>0</v>
      </c>
    </row>
    <row r="73" spans="1:10" ht="15" hidden="1" x14ac:dyDescent="0.25">
      <c r="A73" s="78" t="str">
        <f t="shared" si="4"/>
        <v>Rehab</v>
      </c>
      <c r="B73" s="77"/>
      <c r="C73" s="95">
        <v>0</v>
      </c>
      <c r="D73" s="95"/>
      <c r="E73" s="95">
        <v>0</v>
      </c>
      <c r="F73" s="95">
        <v>0</v>
      </c>
      <c r="G73" s="95"/>
      <c r="H73" s="95">
        <v>0</v>
      </c>
      <c r="I73" s="95">
        <v>0</v>
      </c>
    </row>
    <row r="74" spans="1:10" ht="15" x14ac:dyDescent="0.25">
      <c r="A74" s="78" t="str">
        <f t="shared" si="4"/>
        <v>Caesar Square</v>
      </c>
      <c r="B74" s="77"/>
      <c r="C74" s="95">
        <f>'Caesar Sq'!D53</f>
        <v>98310</v>
      </c>
      <c r="D74" s="95"/>
      <c r="E74" s="95">
        <f>'Caesar Sq'!I53</f>
        <v>89130</v>
      </c>
      <c r="F74" s="95">
        <f>'Caesar Sq'!J53</f>
        <v>7427.5</v>
      </c>
      <c r="G74" s="95"/>
      <c r="H74" s="95">
        <f>'Caesar Sq'!F53</f>
        <v>7126.5555555555557</v>
      </c>
      <c r="I74" s="95">
        <f>'Caesar Sq'!E53</f>
        <v>64139</v>
      </c>
    </row>
    <row r="75" spans="1:10" ht="15" x14ac:dyDescent="0.25">
      <c r="A75" s="78" t="str">
        <f t="shared" si="4"/>
        <v>Aspen Ridge</v>
      </c>
      <c r="B75" s="77"/>
      <c r="C75" s="95">
        <f>'Aspen Ridge'!D48</f>
        <v>88489.5</v>
      </c>
      <c r="D75" s="95"/>
      <c r="E75" s="95">
        <f>'Aspen Ridge'!I48</f>
        <v>87370</v>
      </c>
      <c r="F75" s="95">
        <f>'Aspen Ridge'!J48</f>
        <v>7280.833333333333</v>
      </c>
      <c r="G75" s="95"/>
      <c r="H75" s="95">
        <f>'Aspen Ridge'!F48</f>
        <v>6977.2222222222217</v>
      </c>
      <c r="I75" s="95">
        <f>'Aspen Ridge'!E48</f>
        <v>62795</v>
      </c>
    </row>
    <row r="76" spans="1:10" ht="15" x14ac:dyDescent="0.25">
      <c r="A76" s="77" t="str">
        <f t="shared" si="4"/>
        <v>Redwood</v>
      </c>
      <c r="B76" s="77"/>
      <c r="C76" s="95">
        <f>'Redwood Village'!D50</f>
        <v>34679.699999999997</v>
      </c>
      <c r="D76" s="95"/>
      <c r="E76" s="95">
        <f>'Redwood Village'!I50</f>
        <v>32420</v>
      </c>
      <c r="F76" s="95">
        <f>'Redwood Village'!J50</f>
        <v>2701.6666666666665</v>
      </c>
      <c r="G76" s="95"/>
      <c r="H76" s="95">
        <f>'Redwood Village'!F50</f>
        <v>2587.3333333333335</v>
      </c>
      <c r="I76" s="95">
        <f>'Redwood Village'!E50</f>
        <v>23286</v>
      </c>
    </row>
    <row r="77" spans="1:10" ht="15" x14ac:dyDescent="0.25">
      <c r="A77" s="77" t="str">
        <f t="shared" si="4"/>
        <v>Green Ridge</v>
      </c>
      <c r="B77" s="77"/>
      <c r="C77" s="95">
        <f>'Green Ridge'!D52</f>
        <v>80700</v>
      </c>
      <c r="D77" s="95"/>
      <c r="E77" s="95">
        <f>'Green Ridge'!I52</f>
        <v>73270</v>
      </c>
      <c r="F77" s="95">
        <f>'Green Ridge'!J52</f>
        <v>6105.833333333333</v>
      </c>
      <c r="G77" s="95"/>
      <c r="H77" s="95">
        <f>'Green Ridge'!F52</f>
        <v>5890.4444444444443</v>
      </c>
      <c r="I77" s="95">
        <f>'Green Ridge'!E52</f>
        <v>53014</v>
      </c>
    </row>
    <row r="78" spans="1:10" ht="15" x14ac:dyDescent="0.25">
      <c r="A78" s="77" t="str">
        <f t="shared" si="4"/>
        <v>Glendale</v>
      </c>
      <c r="B78" s="77"/>
      <c r="C78" s="95">
        <f>Glendale!D53</f>
        <v>226280</v>
      </c>
      <c r="D78" s="95"/>
      <c r="E78" s="95">
        <f>Glendale!I53</f>
        <v>203990</v>
      </c>
      <c r="F78" s="95">
        <f>Glendale!J53</f>
        <v>16999.166666666668</v>
      </c>
      <c r="G78" s="95"/>
      <c r="H78" s="95">
        <f>Glendale!F53</f>
        <v>16324.666666666666</v>
      </c>
      <c r="I78" s="95">
        <f>Glendale!E53</f>
        <v>146922</v>
      </c>
    </row>
    <row r="79" spans="1:10" ht="15" x14ac:dyDescent="0.25">
      <c r="A79" s="78" t="str">
        <f t="shared" si="4"/>
        <v>Viking Square</v>
      </c>
      <c r="B79" s="77"/>
      <c r="C79" s="95">
        <f>'Viking Sq'!D49</f>
        <v>46330</v>
      </c>
      <c r="D79" s="95"/>
      <c r="E79" s="95">
        <f>'Viking Sq'!I49</f>
        <v>36420</v>
      </c>
      <c r="F79" s="95">
        <f>'Viking Sq'!J49</f>
        <v>3035</v>
      </c>
      <c r="G79" s="95"/>
      <c r="H79" s="95">
        <f>'Viking Sq'!F49</f>
        <v>2909.7777777777774</v>
      </c>
      <c r="I79" s="95">
        <f>'Viking Sq'!E49</f>
        <v>26188</v>
      </c>
    </row>
    <row r="80" spans="1:10" ht="15" x14ac:dyDescent="0.25">
      <c r="A80" s="78" t="str">
        <f t="shared" si="4"/>
        <v>Canyon Gate</v>
      </c>
      <c r="B80" s="77"/>
      <c r="C80" s="95">
        <f>'Canyon Gate'!D49</f>
        <v>46790</v>
      </c>
      <c r="D80" s="95"/>
      <c r="E80" s="95">
        <f>'Canyon Gate'!I49</f>
        <v>39590</v>
      </c>
      <c r="F80" s="95">
        <f>'Canyon Gate'!J49</f>
        <v>3299.1666666666665</v>
      </c>
      <c r="G80" s="95"/>
      <c r="H80" s="95">
        <f>'Canyon Gate'!F49</f>
        <v>3168.9999999999995</v>
      </c>
      <c r="I80" s="95">
        <f>'Canyon Gate'!E49</f>
        <v>28521</v>
      </c>
    </row>
    <row r="81" spans="1:13" ht="15" x14ac:dyDescent="0.25">
      <c r="A81" s="78" t="str">
        <f t="shared" si="4"/>
        <v>Lewis Court</v>
      </c>
      <c r="B81" s="77"/>
      <c r="C81" s="95">
        <f>'Lewis Ct'!D54</f>
        <v>70950</v>
      </c>
      <c r="D81" s="95"/>
      <c r="E81" s="95">
        <f>'Lewis Ct'!I54</f>
        <v>53309.997866666672</v>
      </c>
      <c r="F81" s="95">
        <f>'Lewis Ct'!J54</f>
        <v>4442.499822222223</v>
      </c>
      <c r="G81" s="95"/>
      <c r="H81" s="95">
        <f>'Lewis Ct'!F54</f>
        <v>4283.3977777777782</v>
      </c>
      <c r="I81" s="95">
        <f>'Lewis Ct'!E54</f>
        <v>38550.579999999994</v>
      </c>
    </row>
    <row r="82" spans="1:13" ht="15" x14ac:dyDescent="0.25">
      <c r="A82" s="78" t="str">
        <f t="shared" si="4"/>
        <v>Harlan St</v>
      </c>
      <c r="B82" s="77"/>
      <c r="C82" s="95">
        <f>Harlan!D52</f>
        <v>0</v>
      </c>
      <c r="D82" s="95"/>
      <c r="E82" s="95">
        <f>Harlan!I52</f>
        <v>4710</v>
      </c>
      <c r="F82" s="95">
        <f>Harlan!J52</f>
        <v>392.5</v>
      </c>
      <c r="G82" s="95"/>
      <c r="H82" s="95">
        <f>Harlan!F52</f>
        <v>5.6666666666666661</v>
      </c>
      <c r="I82" s="95">
        <f>Harlan!E52</f>
        <v>51</v>
      </c>
    </row>
    <row r="83" spans="1:13" ht="15" x14ac:dyDescent="0.25">
      <c r="A83" s="78" t="str">
        <f t="shared" si="4"/>
        <v>JCHA</v>
      </c>
      <c r="B83" s="77"/>
      <c r="C83" s="97">
        <f>'JCHA '!D65</f>
        <v>12390</v>
      </c>
      <c r="D83" s="97"/>
      <c r="E83" s="97">
        <f>'JCHA '!I65</f>
        <v>9870</v>
      </c>
      <c r="F83" s="97">
        <f>'JCHA '!J65</f>
        <v>822.5</v>
      </c>
      <c r="G83" s="97"/>
      <c r="H83" s="97">
        <f>'JCHA '!F65</f>
        <v>789.33333333333337</v>
      </c>
      <c r="I83" s="97">
        <f>'JCHA '!E65</f>
        <v>7104</v>
      </c>
    </row>
    <row r="84" spans="1:13" ht="15" x14ac:dyDescent="0.25">
      <c r="A84" s="77"/>
      <c r="B84" s="77"/>
      <c r="C84" s="91"/>
      <c r="D84" s="95"/>
      <c r="E84" s="91"/>
      <c r="F84" s="95"/>
      <c r="G84" s="95"/>
      <c r="H84" s="95"/>
      <c r="I84" s="95"/>
    </row>
    <row r="85" spans="1:13" ht="15.75" thickBot="1" x14ac:dyDescent="0.3">
      <c r="A85" s="76" t="s">
        <v>512</v>
      </c>
      <c r="B85" s="77"/>
      <c r="C85" s="104">
        <f>SUM(C70:C84)</f>
        <v>724389.2</v>
      </c>
      <c r="D85" s="104"/>
      <c r="E85" s="104">
        <f>SUM(E70:E84)</f>
        <v>645629.99786666664</v>
      </c>
      <c r="F85" s="104">
        <f>SUM(F70:F84)</f>
        <v>53802.49982222222</v>
      </c>
      <c r="G85" s="104"/>
      <c r="H85" s="104">
        <f>SUM(H70:H84)</f>
        <v>51316.286666666667</v>
      </c>
      <c r="I85" s="104">
        <f>SUM(I70:I84)</f>
        <v>461846.58</v>
      </c>
      <c r="J85" s="98"/>
    </row>
    <row r="86" spans="1:13" ht="15.75" thickTop="1" x14ac:dyDescent="0.25">
      <c r="A86" s="77"/>
      <c r="B86" s="77"/>
      <c r="C86" s="77"/>
      <c r="D86" s="77"/>
      <c r="E86" s="77"/>
      <c r="F86" s="77"/>
      <c r="G86" s="77"/>
      <c r="H86" s="77"/>
      <c r="I86" s="77"/>
    </row>
    <row r="87" spans="1:13" ht="15" x14ac:dyDescent="0.25">
      <c r="A87" s="77"/>
      <c r="B87" s="77"/>
      <c r="C87" s="88"/>
      <c r="D87" s="88"/>
      <c r="E87" s="88"/>
      <c r="F87" s="88"/>
      <c r="G87" s="88"/>
      <c r="H87" s="90"/>
      <c r="I87" s="88"/>
      <c r="J87" s="108"/>
      <c r="M87" s="94" t="e">
        <f>#REF!*5%</f>
        <v>#REF!</v>
      </c>
    </row>
    <row r="88" spans="1:13" ht="15" x14ac:dyDescent="0.25">
      <c r="A88" s="89" t="s">
        <v>456</v>
      </c>
      <c r="B88" s="77"/>
      <c r="C88" s="77"/>
      <c r="D88" s="77"/>
      <c r="E88" s="77"/>
      <c r="F88" s="77"/>
      <c r="G88" s="77"/>
      <c r="H88" s="77"/>
      <c r="I88" s="76"/>
      <c r="J88" s="98"/>
      <c r="M88" s="94" t="e">
        <f>#REF!*5%</f>
        <v>#REF!</v>
      </c>
    </row>
    <row r="89" spans="1:13" ht="15" x14ac:dyDescent="0.25">
      <c r="A89" s="77" t="s">
        <v>488</v>
      </c>
      <c r="B89" s="77"/>
      <c r="C89" s="95">
        <f>'Kendall Apts'!D55</f>
        <v>41640</v>
      </c>
      <c r="D89" s="95"/>
      <c r="E89" s="95">
        <f>'Kendall Apts'!I55</f>
        <v>36490</v>
      </c>
      <c r="F89" s="95">
        <f>'Kendall Apts'!J55</f>
        <v>3040.8333333333335</v>
      </c>
      <c r="G89" s="95"/>
      <c r="H89" s="95">
        <f>'Kendall Apts'!G55</f>
        <v>2476.7777777777778</v>
      </c>
      <c r="I89" s="95">
        <f>'Kendall Apts'!E55</f>
        <v>22291</v>
      </c>
      <c r="M89" s="94" t="e">
        <f>#REF!*5%</f>
        <v>#REF!</v>
      </c>
    </row>
    <row r="90" spans="1:13" ht="15" x14ac:dyDescent="0.25">
      <c r="A90" s="77" t="s">
        <v>491</v>
      </c>
      <c r="B90" s="77"/>
      <c r="C90" s="95">
        <f>'Mtn View'!D55</f>
        <v>16490</v>
      </c>
      <c r="D90" s="95"/>
      <c r="E90" s="95">
        <f>'Mtn View'!I55</f>
        <v>23786</v>
      </c>
      <c r="F90" s="95">
        <f>'Mtn View'!J55</f>
        <v>1982.1666666666667</v>
      </c>
      <c r="G90" s="95"/>
      <c r="H90" s="95">
        <f>'Mtn View'!F55</f>
        <v>1622.1111111111109</v>
      </c>
      <c r="I90" s="95">
        <f>'Mtn View'!E55</f>
        <v>14599</v>
      </c>
      <c r="M90" s="94" t="e">
        <f>#REF!*5%</f>
        <v>#REF!</v>
      </c>
    </row>
    <row r="91" spans="1:13" ht="15" hidden="1" x14ac:dyDescent="0.25">
      <c r="A91" s="77" t="str">
        <f t="shared" ref="A91:A102" si="5">A72</f>
        <v>Section 8</v>
      </c>
      <c r="B91" s="77"/>
      <c r="C91" s="95">
        <v>0</v>
      </c>
      <c r="D91" s="95"/>
      <c r="E91" s="95">
        <v>0</v>
      </c>
      <c r="F91" s="95">
        <v>0</v>
      </c>
      <c r="G91" s="95"/>
      <c r="H91" s="95">
        <v>0</v>
      </c>
      <c r="I91" s="95">
        <v>0</v>
      </c>
      <c r="M91" s="94" t="e">
        <f>#REF!*5%</f>
        <v>#REF!</v>
      </c>
    </row>
    <row r="92" spans="1:13" ht="15" x14ac:dyDescent="0.25">
      <c r="A92" s="78" t="str">
        <f t="shared" si="5"/>
        <v>Rehab</v>
      </c>
      <c r="B92" s="77"/>
      <c r="C92" s="95">
        <f>Rehab!D46</f>
        <v>212679.81953333333</v>
      </c>
      <c r="D92" s="95"/>
      <c r="E92" s="95">
        <f>Rehab!I46</f>
        <v>201070</v>
      </c>
      <c r="F92" s="95">
        <f>Rehab!J46</f>
        <v>16755.833333333332</v>
      </c>
      <c r="G92" s="95"/>
      <c r="H92" s="95">
        <f>Rehab!F46</f>
        <v>16605.555555555555</v>
      </c>
      <c r="I92" s="95">
        <f>Rehab!E46</f>
        <v>149450</v>
      </c>
    </row>
    <row r="93" spans="1:13" ht="15" x14ac:dyDescent="0.25">
      <c r="A93" s="78" t="str">
        <f t="shared" si="5"/>
        <v>Caesar Square</v>
      </c>
      <c r="B93" s="77"/>
      <c r="C93" s="95">
        <f>'Caesar Sq'!D71</f>
        <v>186920</v>
      </c>
      <c r="D93" s="95"/>
      <c r="E93" s="95">
        <f>'Caesar Sq'!I71</f>
        <v>215290</v>
      </c>
      <c r="F93" s="95">
        <f>'Caesar Sq'!J71</f>
        <v>17940.833333333332</v>
      </c>
      <c r="G93" s="95"/>
      <c r="H93" s="95">
        <f>'Caesar Sq'!F71</f>
        <v>16326.888888888887</v>
      </c>
      <c r="I93" s="95">
        <f>'Caesar Sq'!E71</f>
        <v>146942</v>
      </c>
    </row>
    <row r="94" spans="1:13" ht="15" x14ac:dyDescent="0.25">
      <c r="A94" s="78" t="str">
        <f t="shared" si="5"/>
        <v>Aspen Ridge</v>
      </c>
      <c r="B94" s="77"/>
      <c r="C94" s="95">
        <f>'Aspen Ridge'!D65</f>
        <v>158830</v>
      </c>
      <c r="D94" s="95"/>
      <c r="E94" s="95">
        <f>'Aspen Ridge'!I65</f>
        <v>220730</v>
      </c>
      <c r="F94" s="95">
        <f>'Aspen Ridge'!J65</f>
        <v>18394.166666666668</v>
      </c>
      <c r="G94" s="95"/>
      <c r="H94" s="95">
        <f>'Aspen Ridge'!F65</f>
        <v>14859.222222222223</v>
      </c>
      <c r="I94" s="95">
        <f>'Aspen Ridge'!E65</f>
        <v>133733</v>
      </c>
      <c r="M94" s="94" t="e">
        <f>#REF!*5%</f>
        <v>#REF!</v>
      </c>
    </row>
    <row r="95" spans="1:13" ht="15" x14ac:dyDescent="0.25">
      <c r="A95" s="77" t="str">
        <f t="shared" si="5"/>
        <v>Redwood</v>
      </c>
      <c r="B95" s="77"/>
      <c r="C95" s="95">
        <f>'Redwood Village'!D66</f>
        <v>77250</v>
      </c>
      <c r="D95" s="95"/>
      <c r="E95" s="95">
        <f>'Redwood Village'!I66</f>
        <v>91214</v>
      </c>
      <c r="F95" s="95">
        <f>'Redwood Village'!J66</f>
        <v>7601.166666666667</v>
      </c>
      <c r="G95" s="95"/>
      <c r="H95" s="95">
        <f>'Redwood Village'!F66</f>
        <v>7037.8888888888887</v>
      </c>
      <c r="I95" s="95">
        <f>'Redwood Village'!E66</f>
        <v>63341</v>
      </c>
      <c r="M95" s="94" t="e">
        <f>#REF!*5%</f>
        <v>#REF!</v>
      </c>
    </row>
    <row r="96" spans="1:13" ht="15" x14ac:dyDescent="0.25">
      <c r="A96" s="77" t="str">
        <f t="shared" si="5"/>
        <v>Green Ridge</v>
      </c>
      <c r="B96" s="77"/>
      <c r="C96" s="95">
        <f>'Green Ridge'!D68</f>
        <v>154890</v>
      </c>
      <c r="D96" s="95"/>
      <c r="E96" s="95">
        <f>'Green Ridge'!I68</f>
        <v>168210</v>
      </c>
      <c r="F96" s="95">
        <f>'Green Ridge'!J68</f>
        <v>14017.5</v>
      </c>
      <c r="G96" s="95"/>
      <c r="H96" s="95">
        <f>'Green Ridge'!F68</f>
        <v>11143.444444444445</v>
      </c>
      <c r="I96" s="95">
        <f>'Green Ridge'!E68</f>
        <v>100291</v>
      </c>
      <c r="M96" s="94" t="e">
        <f>#REF!*5%</f>
        <v>#REF!</v>
      </c>
    </row>
    <row r="97" spans="1:13" ht="15" x14ac:dyDescent="0.25">
      <c r="A97" s="77" t="str">
        <f t="shared" si="5"/>
        <v>Glendale</v>
      </c>
      <c r="B97" s="77"/>
      <c r="C97" s="95">
        <f>Glendale!D69</f>
        <v>217480</v>
      </c>
      <c r="D97" s="95"/>
      <c r="E97" s="95">
        <f>Glendale!I69</f>
        <v>298160</v>
      </c>
      <c r="F97" s="95">
        <f>Glendale!J69</f>
        <v>24846.666666666668</v>
      </c>
      <c r="G97" s="95"/>
      <c r="H97" s="95">
        <f>Glendale!F69</f>
        <v>23287.888888888891</v>
      </c>
      <c r="I97" s="95">
        <f>Glendale!E69</f>
        <v>209591</v>
      </c>
      <c r="M97" s="94" t="e">
        <f>#REF!*5%</f>
        <v>#REF!</v>
      </c>
    </row>
    <row r="98" spans="1:13" ht="15" x14ac:dyDescent="0.25">
      <c r="A98" s="78" t="str">
        <f t="shared" si="5"/>
        <v>Viking Square</v>
      </c>
      <c r="B98" s="77"/>
      <c r="C98" s="95">
        <f>'Viking Sq'!D66</f>
        <v>88330</v>
      </c>
      <c r="D98" s="95"/>
      <c r="E98" s="95">
        <f>'Viking Sq'!I66</f>
        <v>102267</v>
      </c>
      <c r="F98" s="95">
        <f>'Viking Sq'!J66</f>
        <v>8522.25</v>
      </c>
      <c r="G98" s="95"/>
      <c r="H98" s="95">
        <f>'Viking Sq'!F66</f>
        <v>6855.6666666666679</v>
      </c>
      <c r="I98" s="95">
        <f>'Viking Sq'!E66</f>
        <v>61701</v>
      </c>
      <c r="K98" s="110"/>
      <c r="M98" s="94" t="e">
        <f>#REF!*5%</f>
        <v>#REF!</v>
      </c>
    </row>
    <row r="99" spans="1:13" ht="15" x14ac:dyDescent="0.25">
      <c r="A99" s="78" t="str">
        <f t="shared" si="5"/>
        <v>Canyon Gate</v>
      </c>
      <c r="B99" s="77"/>
      <c r="C99" s="95">
        <f>'Canyon Gate'!D67</f>
        <v>82719.8</v>
      </c>
      <c r="D99" s="95"/>
      <c r="E99" s="95">
        <f>'Canyon Gate'!I67</f>
        <v>118380</v>
      </c>
      <c r="F99" s="95">
        <f>'Canyon Gate'!J67</f>
        <v>9865</v>
      </c>
      <c r="G99" s="95"/>
      <c r="H99" s="95">
        <f>'Canyon Gate'!F67</f>
        <v>7216.3333333333339</v>
      </c>
      <c r="I99" s="95">
        <f>'Canyon Gate'!E67</f>
        <v>64947</v>
      </c>
      <c r="K99" s="110"/>
    </row>
    <row r="100" spans="1:13" ht="15" x14ac:dyDescent="0.25">
      <c r="A100" s="78" t="str">
        <f t="shared" si="5"/>
        <v>Lewis Court</v>
      </c>
      <c r="B100" s="77"/>
      <c r="C100" s="95">
        <f>'Lewis Ct'!D71</f>
        <v>70480</v>
      </c>
      <c r="D100" s="95"/>
      <c r="E100" s="95">
        <f>'Lewis Ct'!I71</f>
        <v>114509.8</v>
      </c>
      <c r="F100" s="95">
        <f>'Lewis Ct'!J71</f>
        <v>9542.4833333333336</v>
      </c>
      <c r="G100" s="95"/>
      <c r="H100" s="95">
        <f>'Lewis Ct'!F71</f>
        <v>6986.3288888888883</v>
      </c>
      <c r="I100" s="95">
        <f>'Lewis Ct'!E71</f>
        <v>62876.959999999999</v>
      </c>
      <c r="K100" s="110"/>
    </row>
    <row r="101" spans="1:13" ht="15" x14ac:dyDescent="0.25">
      <c r="A101" s="78" t="str">
        <f t="shared" si="5"/>
        <v>Harlan St</v>
      </c>
      <c r="B101" s="77"/>
      <c r="C101" s="95">
        <f>Harlan!D70</f>
        <v>0</v>
      </c>
      <c r="D101" s="95"/>
      <c r="E101" s="95">
        <f>Harlan!I70</f>
        <v>17510</v>
      </c>
      <c r="F101" s="95">
        <f>Harlan!J70</f>
        <v>1459.1666666666667</v>
      </c>
      <c r="G101" s="95"/>
      <c r="H101" s="95">
        <f>Harlan!F70</f>
        <v>473.77777777777777</v>
      </c>
      <c r="I101" s="95">
        <f>Harlan!E70</f>
        <v>4264</v>
      </c>
      <c r="K101" s="110"/>
    </row>
    <row r="102" spans="1:13" ht="15" x14ac:dyDescent="0.25">
      <c r="A102" s="78" t="str">
        <f t="shared" si="5"/>
        <v>JCHA</v>
      </c>
      <c r="B102" s="77"/>
      <c r="C102" s="97">
        <f>'JCHA '!D78</f>
        <v>22040</v>
      </c>
      <c r="D102" s="97"/>
      <c r="E102" s="97">
        <f>'JCHA '!I78</f>
        <v>22570</v>
      </c>
      <c r="F102" s="97">
        <f>'JCHA '!J78</f>
        <v>1880.8333333333333</v>
      </c>
      <c r="G102" s="97"/>
      <c r="H102" s="97">
        <f>'JCHA '!F78</f>
        <v>1827.2222222222222</v>
      </c>
      <c r="I102" s="97">
        <f>'JCHA '!E78</f>
        <v>16445</v>
      </c>
      <c r="K102" s="110"/>
    </row>
    <row r="103" spans="1:13" ht="15" x14ac:dyDescent="0.25">
      <c r="A103" s="77"/>
      <c r="B103" s="76"/>
      <c r="C103" s="91"/>
      <c r="D103" s="95"/>
      <c r="E103" s="91"/>
      <c r="F103" s="95"/>
      <c r="G103" s="95"/>
      <c r="H103" s="95"/>
      <c r="I103" s="95"/>
      <c r="K103" s="110"/>
    </row>
    <row r="104" spans="1:13" ht="15.75" thickBot="1" x14ac:dyDescent="0.3">
      <c r="A104" s="76" t="s">
        <v>513</v>
      </c>
      <c r="B104" s="77"/>
      <c r="C104" s="104">
        <f>SUM(C89:C103)</f>
        <v>1329749.6195333332</v>
      </c>
      <c r="D104" s="104"/>
      <c r="E104" s="104">
        <f>SUM(E89:E103)</f>
        <v>1630186.8</v>
      </c>
      <c r="F104" s="104">
        <f>SUM(F89:F103)</f>
        <v>135848.9</v>
      </c>
      <c r="G104" s="104"/>
      <c r="H104" s="104">
        <f>SUM(H89:H103)</f>
        <v>116719.10666666666</v>
      </c>
      <c r="I104" s="104">
        <f>SUM(I89:I103)</f>
        <v>1050471.96</v>
      </c>
      <c r="J104" s="98"/>
      <c r="M104" s="94" t="e">
        <f>#REF!*5%</f>
        <v>#REF!</v>
      </c>
    </row>
    <row r="105" spans="1:13" ht="15.75" thickTop="1" x14ac:dyDescent="0.25">
      <c r="A105" s="111"/>
      <c r="B105" s="76"/>
      <c r="C105" s="76"/>
      <c r="D105" s="77"/>
      <c r="E105" s="76"/>
      <c r="F105" s="77"/>
      <c r="G105" s="77"/>
      <c r="H105" s="77" t="s">
        <v>470</v>
      </c>
      <c r="I105" s="76"/>
      <c r="J105" s="98"/>
      <c r="K105" s="110"/>
      <c r="M105" s="94" t="e">
        <f>#REF!*5%</f>
        <v>#REF!</v>
      </c>
    </row>
    <row r="106" spans="1:13" ht="15" x14ac:dyDescent="0.25">
      <c r="A106" s="112" t="s">
        <v>83</v>
      </c>
      <c r="B106" s="77"/>
      <c r="C106" s="77"/>
      <c r="D106" s="77"/>
      <c r="E106" s="77"/>
      <c r="F106" s="77"/>
      <c r="G106" s="77"/>
      <c r="H106" s="77" t="s">
        <v>470</v>
      </c>
      <c r="I106" s="77"/>
      <c r="K106" s="110"/>
      <c r="M106" s="94" t="e">
        <f>#REF!*5%</f>
        <v>#REF!</v>
      </c>
    </row>
    <row r="107" spans="1:13" ht="15" x14ac:dyDescent="0.25">
      <c r="A107" s="77" t="s">
        <v>488</v>
      </c>
      <c r="B107" s="77"/>
      <c r="C107" s="95">
        <f>'Kendall Apts'!D64</f>
        <v>52080</v>
      </c>
      <c r="D107" s="95"/>
      <c r="E107" s="95">
        <f>'Kendall Apts'!I64</f>
        <v>57120</v>
      </c>
      <c r="F107" s="95">
        <f>'Kendall Apts'!J64</f>
        <v>4760</v>
      </c>
      <c r="G107" s="95"/>
      <c r="H107" s="95">
        <f>'Kendall Apts'!G64</f>
        <v>4355.7777777777783</v>
      </c>
      <c r="I107" s="95">
        <f>'Kendall Apts'!E64</f>
        <v>39202</v>
      </c>
      <c r="M107" s="94" t="e">
        <f>#REF!*5%</f>
        <v>#REF!</v>
      </c>
    </row>
    <row r="108" spans="1:13" ht="15" x14ac:dyDescent="0.25">
      <c r="A108" s="77" t="str">
        <f t="shared" ref="A108:A120" si="6">A90</f>
        <v>Mountain View</v>
      </c>
      <c r="B108" s="77"/>
      <c r="C108" s="95">
        <f>'Mtn View'!D65</f>
        <v>37490</v>
      </c>
      <c r="D108" s="95"/>
      <c r="E108" s="95">
        <f>'Mtn View'!I65</f>
        <v>43470</v>
      </c>
      <c r="F108" s="95">
        <f>'Mtn View'!J65</f>
        <v>3622.5</v>
      </c>
      <c r="G108" s="95"/>
      <c r="H108" s="95">
        <f>'Mtn View'!F65</f>
        <v>3833</v>
      </c>
      <c r="I108" s="95">
        <f>'Mtn View'!E65</f>
        <v>34497</v>
      </c>
    </row>
    <row r="109" spans="1:13" ht="15" x14ac:dyDescent="0.25">
      <c r="A109" s="77" t="str">
        <f t="shared" si="6"/>
        <v>Section 8</v>
      </c>
      <c r="B109" s="77"/>
      <c r="C109" s="95">
        <f>Vouchers!D49</f>
        <v>194429.8</v>
      </c>
      <c r="D109" s="95"/>
      <c r="E109" s="95">
        <f>Vouchers!I49</f>
        <v>206775</v>
      </c>
      <c r="F109" s="95">
        <f>Vouchers!J49</f>
        <v>17231.25</v>
      </c>
      <c r="G109" s="95"/>
      <c r="H109" s="95">
        <f>Vouchers!F49</f>
        <v>14370.222222222223</v>
      </c>
      <c r="I109" s="95">
        <f>Vouchers!E49</f>
        <v>129332</v>
      </c>
    </row>
    <row r="110" spans="1:13" ht="15" x14ac:dyDescent="0.25">
      <c r="A110" s="78" t="str">
        <f t="shared" si="6"/>
        <v>Rehab</v>
      </c>
      <c r="B110" s="77"/>
      <c r="C110" s="95">
        <f>Rehab!D57</f>
        <v>43589.932374999997</v>
      </c>
      <c r="D110" s="95"/>
      <c r="E110" s="95">
        <f>Rehab!I57</f>
        <v>43230</v>
      </c>
      <c r="F110" s="95">
        <f>Rehab!J57</f>
        <v>3602.5</v>
      </c>
      <c r="G110" s="95"/>
      <c r="H110" s="95">
        <f>Rehab!F57</f>
        <v>3366.1111111111113</v>
      </c>
      <c r="I110" s="95">
        <f>Rehab!E57</f>
        <v>30295</v>
      </c>
    </row>
    <row r="111" spans="1:13" ht="15" x14ac:dyDescent="0.25">
      <c r="A111" s="78" t="str">
        <f t="shared" si="6"/>
        <v>Caesar Square</v>
      </c>
      <c r="B111" s="77"/>
      <c r="C111" s="95">
        <f>'Caesar Sq'!D81</f>
        <v>189780</v>
      </c>
      <c r="D111" s="95"/>
      <c r="E111" s="95">
        <f>'Caesar Sq'!I81</f>
        <v>210410</v>
      </c>
      <c r="F111" s="95">
        <f>'Caesar Sq'!J81</f>
        <v>17534.166666666668</v>
      </c>
      <c r="G111" s="95"/>
      <c r="H111" s="95">
        <f>'Caesar Sq'!F81</f>
        <v>17214.111111111109</v>
      </c>
      <c r="I111" s="95">
        <f>'Caesar Sq'!E81</f>
        <v>154927</v>
      </c>
      <c r="M111" s="94" t="e">
        <f>#REF!*5%</f>
        <v>#REF!</v>
      </c>
    </row>
    <row r="112" spans="1:13" ht="15" x14ac:dyDescent="0.25">
      <c r="A112" s="78" t="str">
        <f t="shared" si="6"/>
        <v>Aspen Ridge</v>
      </c>
      <c r="B112" s="77"/>
      <c r="C112" s="95">
        <f>'Aspen Ridge'!D75</f>
        <v>223080</v>
      </c>
      <c r="D112" s="95"/>
      <c r="E112" s="95">
        <f>'Aspen Ridge'!I75</f>
        <v>237100</v>
      </c>
      <c r="F112" s="95">
        <f>'Aspen Ridge'!J75</f>
        <v>19758.333333333332</v>
      </c>
      <c r="G112" s="95"/>
      <c r="H112" s="95">
        <f>'Aspen Ridge'!F75</f>
        <v>20782.555555555555</v>
      </c>
      <c r="I112" s="95">
        <f>'Aspen Ridge'!E75</f>
        <v>187043</v>
      </c>
      <c r="M112" s="94" t="e">
        <f>#REF!*5%</f>
        <v>#REF!</v>
      </c>
    </row>
    <row r="113" spans="1:13" ht="15" x14ac:dyDescent="0.25">
      <c r="A113" s="77" t="str">
        <f t="shared" si="6"/>
        <v>Redwood</v>
      </c>
      <c r="B113" s="77"/>
      <c r="C113" s="95">
        <f>'Redwood Village'!D76</f>
        <v>104960</v>
      </c>
      <c r="D113" s="95"/>
      <c r="E113" s="95">
        <f>'Redwood Village'!I76</f>
        <v>113850</v>
      </c>
      <c r="F113" s="95">
        <f>'Redwood Village'!J76</f>
        <v>9487.5</v>
      </c>
      <c r="G113" s="95"/>
      <c r="H113" s="95">
        <f>'Redwood Village'!F76</f>
        <v>8995.7777777777774</v>
      </c>
      <c r="I113" s="95">
        <f>'Redwood Village'!E76</f>
        <v>80962</v>
      </c>
      <c r="M113" s="94" t="e">
        <f>#REF!*5%</f>
        <v>#REF!</v>
      </c>
    </row>
    <row r="114" spans="1:13" ht="15" x14ac:dyDescent="0.25">
      <c r="A114" s="77" t="str">
        <f t="shared" si="6"/>
        <v>Green Ridge</v>
      </c>
      <c r="B114" s="77"/>
      <c r="C114" s="95">
        <f>'Green Ridge'!D80</f>
        <v>161050</v>
      </c>
      <c r="D114" s="95"/>
      <c r="E114" s="95">
        <f>'Green Ridge'!I80</f>
        <v>159370</v>
      </c>
      <c r="F114" s="95">
        <f>'Green Ridge'!J80</f>
        <v>13280.833333333332</v>
      </c>
      <c r="G114" s="95"/>
      <c r="H114" s="95">
        <f>'Green Ridge'!F80</f>
        <v>12995.777777777777</v>
      </c>
      <c r="I114" s="95">
        <f>'Green Ridge'!E80</f>
        <v>116962</v>
      </c>
      <c r="M114" s="94" t="e">
        <f>#REF!*5%</f>
        <v>#REF!</v>
      </c>
    </row>
    <row r="115" spans="1:13" ht="15" x14ac:dyDescent="0.25">
      <c r="A115" s="77" t="str">
        <f t="shared" si="6"/>
        <v>Glendale</v>
      </c>
      <c r="B115" s="77"/>
      <c r="C115" s="95">
        <f>Glendale!D79</f>
        <v>309360</v>
      </c>
      <c r="D115" s="95"/>
      <c r="E115" s="95">
        <f>Glendale!I79</f>
        <v>372638</v>
      </c>
      <c r="F115" s="95">
        <f>Glendale!J79</f>
        <v>31053.166666666664</v>
      </c>
      <c r="G115" s="95"/>
      <c r="H115" s="95">
        <f>Glendale!F79</f>
        <v>29090.666666666664</v>
      </c>
      <c r="I115" s="95">
        <f>Glendale!E79</f>
        <v>261816</v>
      </c>
      <c r="M115" s="94" t="e">
        <f>#REF!*5%</f>
        <v>#REF!</v>
      </c>
    </row>
    <row r="116" spans="1:13" ht="15" x14ac:dyDescent="0.25">
      <c r="A116" s="78" t="str">
        <f t="shared" si="6"/>
        <v>Viking Square</v>
      </c>
      <c r="B116" s="77"/>
      <c r="C116" s="95">
        <f>'Viking Sq'!D79</f>
        <v>109130</v>
      </c>
      <c r="D116" s="95"/>
      <c r="E116" s="95">
        <f>'Viking Sq'!I79</f>
        <v>128890</v>
      </c>
      <c r="F116" s="95">
        <f>'Viking Sq'!J79</f>
        <v>10740.833333333334</v>
      </c>
      <c r="G116" s="95"/>
      <c r="H116" s="95">
        <f>'Viking Sq'!F79</f>
        <v>10462.444444444445</v>
      </c>
      <c r="I116" s="95">
        <f>'Viking Sq'!E79</f>
        <v>94162</v>
      </c>
      <c r="M116" s="94" t="e">
        <f>#REF!*5%</f>
        <v>#REF!</v>
      </c>
    </row>
    <row r="117" spans="1:13" ht="15" x14ac:dyDescent="0.25">
      <c r="A117" s="78" t="str">
        <f t="shared" si="6"/>
        <v>Canyon Gate</v>
      </c>
      <c r="B117" s="77"/>
      <c r="C117" s="95">
        <f>'Canyon Gate'!D79</f>
        <v>68600</v>
      </c>
      <c r="D117" s="95"/>
      <c r="E117" s="95">
        <f>'Canyon Gate'!I79</f>
        <v>80690</v>
      </c>
      <c r="F117" s="95">
        <f>'Canyon Gate'!J79</f>
        <v>6724.1666666666661</v>
      </c>
      <c r="G117" s="95"/>
      <c r="H117" s="95">
        <f>'Canyon Gate'!F79</f>
        <v>5927.2222222222226</v>
      </c>
      <c r="I117" s="95">
        <f>'Canyon Gate'!E79</f>
        <v>53345</v>
      </c>
    </row>
    <row r="118" spans="1:13" ht="15" x14ac:dyDescent="0.25">
      <c r="A118" s="78" t="str">
        <f t="shared" si="6"/>
        <v>Lewis Court</v>
      </c>
      <c r="B118" s="77"/>
      <c r="C118" s="95">
        <f>'Lewis Ct'!D82</f>
        <v>347060</v>
      </c>
      <c r="D118" s="95"/>
      <c r="E118" s="95">
        <f>'Lewis Ct'!I82</f>
        <v>366790</v>
      </c>
      <c r="F118" s="95">
        <f>'Lewis Ct'!J82</f>
        <v>30565.833333333332</v>
      </c>
      <c r="G118" s="95"/>
      <c r="H118" s="95">
        <f>'Lewis Ct'!F82</f>
        <v>28879.371111111112</v>
      </c>
      <c r="I118" s="95">
        <f>'Lewis Ct'!E82</f>
        <v>259914.34</v>
      </c>
    </row>
    <row r="119" spans="1:13" ht="15" x14ac:dyDescent="0.25">
      <c r="A119" s="78" t="str">
        <f t="shared" si="6"/>
        <v>Harlan St</v>
      </c>
      <c r="B119" s="77"/>
      <c r="C119" s="95">
        <f>Harlan!D81</f>
        <v>0</v>
      </c>
      <c r="D119" s="95"/>
      <c r="E119" s="95">
        <f>Harlan!I81</f>
        <v>10410</v>
      </c>
      <c r="F119" s="95">
        <f>Harlan!J81</f>
        <v>867.5</v>
      </c>
      <c r="G119" s="95"/>
      <c r="H119" s="95">
        <f>Harlan!F81</f>
        <v>108.44444444444446</v>
      </c>
      <c r="I119" s="95">
        <f>Harlan!E81</f>
        <v>976</v>
      </c>
    </row>
    <row r="120" spans="1:13" ht="15" x14ac:dyDescent="0.25">
      <c r="A120" s="78" t="str">
        <f t="shared" si="6"/>
        <v>JCHA</v>
      </c>
      <c r="B120" s="77"/>
      <c r="C120" s="97">
        <f>'JCHA '!D88</f>
        <v>179090</v>
      </c>
      <c r="D120" s="97"/>
      <c r="E120" s="97">
        <f>'JCHA '!I88</f>
        <v>186590</v>
      </c>
      <c r="F120" s="97">
        <f>'JCHA '!J88</f>
        <v>15549.166666666668</v>
      </c>
      <c r="G120" s="97"/>
      <c r="H120" s="97">
        <f>'JCHA '!F88</f>
        <v>13753.777777777779</v>
      </c>
      <c r="I120" s="97">
        <f>'JCHA '!E88</f>
        <v>123784</v>
      </c>
    </row>
    <row r="121" spans="1:13" s="92" customFormat="1" ht="15" x14ac:dyDescent="0.25">
      <c r="A121" s="77"/>
      <c r="B121" s="109"/>
      <c r="C121" s="91"/>
      <c r="D121" s="91"/>
      <c r="E121" s="91"/>
      <c r="F121" s="91"/>
      <c r="G121" s="91"/>
      <c r="H121" s="91"/>
      <c r="I121" s="91"/>
      <c r="K121" s="93"/>
    </row>
    <row r="122" spans="1:13" ht="15.75" thickBot="1" x14ac:dyDescent="0.3">
      <c r="A122" s="76" t="s">
        <v>92</v>
      </c>
      <c r="B122" s="77"/>
      <c r="C122" s="104">
        <f>SUM(C107:C121)</f>
        <v>2019699.7323749999</v>
      </c>
      <c r="D122" s="104"/>
      <c r="E122" s="104">
        <f>SUM(E107:E121)</f>
        <v>2217333</v>
      </c>
      <c r="F122" s="104">
        <f>SUM(F107:F121)</f>
        <v>184777.75</v>
      </c>
      <c r="G122" s="104"/>
      <c r="H122" s="104">
        <f>SUM(H107:H121)</f>
        <v>174135.25999999998</v>
      </c>
      <c r="I122" s="104">
        <f>SUM(I107:I121)</f>
        <v>1567217.34</v>
      </c>
      <c r="J122" s="98"/>
      <c r="M122" s="94" t="e">
        <f>#REF!*5%</f>
        <v>#REF!</v>
      </c>
    </row>
    <row r="123" spans="1:13" ht="15.75" thickTop="1" x14ac:dyDescent="0.25">
      <c r="A123" s="76"/>
      <c r="B123" s="77"/>
      <c r="C123" s="77"/>
      <c r="D123" s="76"/>
      <c r="E123" s="77"/>
      <c r="F123" s="76"/>
      <c r="G123" s="76"/>
      <c r="H123" s="76"/>
      <c r="I123" s="76"/>
      <c r="J123" s="98"/>
      <c r="M123" s="94" t="e">
        <f>#REF!*5%</f>
        <v>#REF!</v>
      </c>
    </row>
    <row r="124" spans="1:13" ht="15" x14ac:dyDescent="0.25">
      <c r="A124" s="113"/>
      <c r="B124" s="77"/>
      <c r="C124" s="77"/>
      <c r="D124" s="77"/>
      <c r="E124" s="77"/>
      <c r="F124" s="77"/>
      <c r="G124" s="77"/>
      <c r="H124" s="77"/>
      <c r="I124" s="77"/>
    </row>
    <row r="125" spans="1:13" ht="15" x14ac:dyDescent="0.25">
      <c r="A125" s="89" t="s">
        <v>302</v>
      </c>
      <c r="B125" s="77"/>
      <c r="C125" s="77"/>
      <c r="D125" s="77"/>
      <c r="E125" s="77"/>
      <c r="F125" s="77"/>
      <c r="G125" s="77"/>
      <c r="H125" s="77" t="s">
        <v>470</v>
      </c>
      <c r="I125" s="77"/>
      <c r="M125" s="94" t="e">
        <f>#REF!*5%</f>
        <v>#REF!</v>
      </c>
    </row>
    <row r="126" spans="1:13" ht="15" hidden="1" x14ac:dyDescent="0.25">
      <c r="A126" s="77" t="str">
        <f t="shared" ref="A126:A139" si="7">A107</f>
        <v>Kendall</v>
      </c>
      <c r="B126" s="77"/>
      <c r="C126" s="95">
        <v>0</v>
      </c>
      <c r="D126" s="95"/>
      <c r="E126" s="95">
        <v>0</v>
      </c>
      <c r="F126" s="95">
        <v>0</v>
      </c>
      <c r="G126" s="95"/>
      <c r="H126" s="95">
        <v>0</v>
      </c>
      <c r="I126" s="95">
        <v>0</v>
      </c>
    </row>
    <row r="127" spans="1:13" ht="15" x14ac:dyDescent="0.25">
      <c r="A127" s="77" t="str">
        <f t="shared" si="7"/>
        <v>Mountain View</v>
      </c>
      <c r="B127" s="77"/>
      <c r="C127" s="95">
        <f>'Mtn View'!D70</f>
        <v>58240</v>
      </c>
      <c r="D127" s="95"/>
      <c r="E127" s="95">
        <f>'Mtn View'!I70</f>
        <v>58240</v>
      </c>
      <c r="F127" s="95">
        <f>'Mtn View'!J70</f>
        <v>4853.333333333333</v>
      </c>
      <c r="G127" s="95"/>
      <c r="H127" s="95">
        <f>'Mtn View'!F70</f>
        <v>5393.1111111111113</v>
      </c>
      <c r="I127" s="95">
        <f>'Mtn View'!E70</f>
        <v>48538</v>
      </c>
    </row>
    <row r="128" spans="1:13" ht="15" hidden="1" x14ac:dyDescent="0.25">
      <c r="A128" s="77" t="str">
        <f t="shared" si="7"/>
        <v>Section 8</v>
      </c>
      <c r="B128" s="77"/>
      <c r="C128" s="95">
        <f>[1]UPHAM!B84</f>
        <v>0</v>
      </c>
      <c r="D128" s="95"/>
      <c r="E128" s="95">
        <f>[1]UPHAM!C84</f>
        <v>0</v>
      </c>
      <c r="F128" s="95">
        <f>[1]UPHAM!D84</f>
        <v>0</v>
      </c>
      <c r="G128" s="95"/>
      <c r="H128" s="95">
        <f>[1]UPHAM!E84</f>
        <v>0</v>
      </c>
      <c r="I128" s="95">
        <f>[1]UPHAM!F84</f>
        <v>0</v>
      </c>
    </row>
    <row r="129" spans="1:13" ht="15" hidden="1" x14ac:dyDescent="0.25">
      <c r="A129" s="78" t="str">
        <f t="shared" si="7"/>
        <v>Rehab</v>
      </c>
      <c r="B129" s="77"/>
      <c r="C129" s="95">
        <v>0</v>
      </c>
      <c r="D129" s="95"/>
      <c r="E129" s="95">
        <v>0</v>
      </c>
      <c r="F129" s="95">
        <v>0</v>
      </c>
      <c r="G129" s="95"/>
      <c r="H129" s="95">
        <v>0</v>
      </c>
      <c r="I129" s="95">
        <v>0</v>
      </c>
    </row>
    <row r="130" spans="1:13" ht="15" x14ac:dyDescent="0.25">
      <c r="A130" s="78" t="str">
        <f t="shared" si="7"/>
        <v>Caesar Square</v>
      </c>
      <c r="B130" s="77"/>
      <c r="C130" s="95">
        <f>'Caesar Sq'!D86</f>
        <v>262820</v>
      </c>
      <c r="D130" s="95"/>
      <c r="E130" s="95">
        <f>'Caesar Sq'!I86</f>
        <v>262820</v>
      </c>
      <c r="F130" s="95">
        <f>'Caesar Sq'!J86</f>
        <v>21901.666666666668</v>
      </c>
      <c r="G130" s="95"/>
      <c r="H130" s="95">
        <f>'Caesar Sq'!F86</f>
        <v>24335.222222222219</v>
      </c>
      <c r="I130" s="95">
        <f>'Caesar Sq'!E86</f>
        <v>219017</v>
      </c>
    </row>
    <row r="131" spans="1:13" ht="15" x14ac:dyDescent="0.25">
      <c r="A131" s="78" t="str">
        <f t="shared" si="7"/>
        <v>Aspen Ridge</v>
      </c>
      <c r="B131" s="77"/>
      <c r="C131" s="95">
        <f>'Aspen Ridge'!D81</f>
        <v>291400</v>
      </c>
      <c r="D131" s="95"/>
      <c r="E131" s="95">
        <f>'Aspen Ridge'!I81</f>
        <v>241400</v>
      </c>
      <c r="F131" s="95">
        <f>'Aspen Ridge'!J81</f>
        <v>20116.666666666668</v>
      </c>
      <c r="G131" s="95"/>
      <c r="H131" s="95">
        <f>'Aspen Ridge'!F81</f>
        <v>22351.888888888891</v>
      </c>
      <c r="I131" s="95">
        <f>'Aspen Ridge'!E81</f>
        <v>201167</v>
      </c>
    </row>
    <row r="132" spans="1:13" ht="15" x14ac:dyDescent="0.25">
      <c r="A132" s="77" t="str">
        <f t="shared" si="7"/>
        <v>Redwood</v>
      </c>
      <c r="B132" s="77"/>
      <c r="C132" s="95">
        <f>'Redwood Village'!D81</f>
        <v>88470</v>
      </c>
      <c r="D132" s="95"/>
      <c r="E132" s="95">
        <f>'Redwood Village'!I81</f>
        <v>88470</v>
      </c>
      <c r="F132" s="95">
        <f>'Redwood Village'!J81</f>
        <v>7372.5</v>
      </c>
      <c r="G132" s="95"/>
      <c r="H132" s="95">
        <f>'Redwood Village'!F81</f>
        <v>8191.7777777777774</v>
      </c>
      <c r="I132" s="95">
        <f>'Redwood Village'!E81</f>
        <v>73726</v>
      </c>
    </row>
    <row r="133" spans="1:13" ht="15" x14ac:dyDescent="0.25">
      <c r="A133" s="77" t="str">
        <f t="shared" si="7"/>
        <v>Green Ridge</v>
      </c>
      <c r="B133" s="77"/>
      <c r="C133" s="95">
        <f>'Green Ridge'!D85</f>
        <v>189300</v>
      </c>
      <c r="D133" s="95"/>
      <c r="E133" s="95">
        <f>'Green Ridge'!I85</f>
        <v>189300</v>
      </c>
      <c r="F133" s="95">
        <f>'Green Ridge'!J85</f>
        <v>15775</v>
      </c>
      <c r="G133" s="95"/>
      <c r="H133" s="95">
        <f>'Green Ridge'!F85</f>
        <v>17527.777777777777</v>
      </c>
      <c r="I133" s="95">
        <f>'Green Ridge'!E85</f>
        <v>157750</v>
      </c>
    </row>
    <row r="134" spans="1:13" ht="15" x14ac:dyDescent="0.25">
      <c r="A134" s="77" t="str">
        <f t="shared" si="7"/>
        <v>Glendale</v>
      </c>
      <c r="B134" s="77"/>
      <c r="C134" s="95">
        <f>Glendale!D85</f>
        <v>246200</v>
      </c>
      <c r="D134" s="95"/>
      <c r="E134" s="95">
        <f>Glendale!I85</f>
        <v>246210</v>
      </c>
      <c r="F134" s="95">
        <f>Glendale!J85</f>
        <v>20517.5</v>
      </c>
      <c r="G134" s="95"/>
      <c r="H134" s="95">
        <f>Glendale!F85</f>
        <v>22797.333333333336</v>
      </c>
      <c r="I134" s="95">
        <f>Glendale!E85</f>
        <v>205176</v>
      </c>
    </row>
    <row r="135" spans="1:13" ht="15" x14ac:dyDescent="0.25">
      <c r="A135" s="78" t="str">
        <f t="shared" si="7"/>
        <v>Viking Square</v>
      </c>
      <c r="B135" s="77"/>
      <c r="C135" s="95">
        <f>'Viking Sq'!D84</f>
        <v>132190</v>
      </c>
      <c r="D135" s="95"/>
      <c r="E135" s="95">
        <f>'Viking Sq'!I84</f>
        <v>102190</v>
      </c>
      <c r="F135" s="95">
        <f>'Viking Sq'!J84</f>
        <v>8515.8333333333339</v>
      </c>
      <c r="G135" s="95"/>
      <c r="H135" s="95">
        <f>'Viking Sq'!F84</f>
        <v>8516.6666666666661</v>
      </c>
      <c r="I135" s="95">
        <f>'Viking Sq'!E84</f>
        <v>76650</v>
      </c>
    </row>
    <row r="136" spans="1:13" ht="15" x14ac:dyDescent="0.25">
      <c r="A136" s="78" t="str">
        <f t="shared" si="7"/>
        <v>Canyon Gate</v>
      </c>
      <c r="B136" s="77"/>
      <c r="C136" s="95">
        <f>'Canyon Gate'!D84</f>
        <v>169630</v>
      </c>
      <c r="D136" s="95"/>
      <c r="E136" s="95">
        <f>'Canyon Gate'!I84</f>
        <v>169630</v>
      </c>
      <c r="F136" s="95">
        <f>'Canyon Gate'!J84</f>
        <v>14135.833333333334</v>
      </c>
      <c r="G136" s="95"/>
      <c r="H136" s="95">
        <f>'Canyon Gate'!F84</f>
        <v>15716.777777777777</v>
      </c>
      <c r="I136" s="95">
        <f>'Canyon Gate'!E84</f>
        <v>141451</v>
      </c>
    </row>
    <row r="137" spans="1:13" ht="15" x14ac:dyDescent="0.25">
      <c r="A137" s="78" t="str">
        <f t="shared" si="7"/>
        <v>Lewis Court</v>
      </c>
      <c r="B137" s="77"/>
      <c r="C137" s="95">
        <f>'Lewis Ct'!D87</f>
        <v>124857</v>
      </c>
      <c r="D137" s="95"/>
      <c r="E137" s="95">
        <f>'Lewis Ct'!I87</f>
        <v>23400</v>
      </c>
      <c r="F137" s="95">
        <f>'Lewis Ct'!J87</f>
        <v>1950</v>
      </c>
      <c r="G137" s="95"/>
      <c r="H137" s="95">
        <f>'Lewis Ct'!F87</f>
        <v>13083.555555555555</v>
      </c>
      <c r="I137" s="95">
        <f>'Lewis Ct'!E87</f>
        <v>117752</v>
      </c>
    </row>
    <row r="138" spans="1:13" ht="15" x14ac:dyDescent="0.25">
      <c r="A138" s="78" t="str">
        <f t="shared" si="7"/>
        <v>Harlan St</v>
      </c>
      <c r="B138" s="77"/>
      <c r="C138" s="97">
        <f>Harlan!D86</f>
        <v>0</v>
      </c>
      <c r="D138" s="97"/>
      <c r="E138" s="97">
        <f>Harlan!I86</f>
        <v>27420</v>
      </c>
      <c r="F138" s="97">
        <f>Harlan!J86</f>
        <v>2285</v>
      </c>
      <c r="G138" s="97"/>
      <c r="H138" s="97">
        <f>Harlan!F86</f>
        <v>153.55555555555554</v>
      </c>
      <c r="I138" s="97">
        <f>Harlan!E86</f>
        <v>1382</v>
      </c>
    </row>
    <row r="139" spans="1:13" ht="15" hidden="1" x14ac:dyDescent="0.25">
      <c r="A139" s="78" t="str">
        <f t="shared" si="7"/>
        <v>JCHA</v>
      </c>
      <c r="B139" s="77"/>
      <c r="C139" s="118">
        <v>0</v>
      </c>
      <c r="D139" s="118"/>
      <c r="E139" s="118">
        <v>0</v>
      </c>
      <c r="F139" s="118">
        <v>0</v>
      </c>
      <c r="G139" s="118"/>
      <c r="H139" s="118">
        <v>0</v>
      </c>
      <c r="I139" s="118">
        <v>0</v>
      </c>
    </row>
    <row r="140" spans="1:13" s="92" customFormat="1" ht="15" x14ac:dyDescent="0.25">
      <c r="A140" s="109"/>
      <c r="B140" s="109"/>
      <c r="C140" s="91"/>
      <c r="D140" s="91"/>
      <c r="E140" s="91"/>
      <c r="F140" s="95"/>
      <c r="G140" s="91"/>
      <c r="H140" s="91"/>
      <c r="I140" s="91"/>
      <c r="K140" s="93"/>
    </row>
    <row r="141" spans="1:13" ht="15.75" thickBot="1" x14ac:dyDescent="0.3">
      <c r="A141" s="85" t="s">
        <v>514</v>
      </c>
      <c r="B141" s="77"/>
      <c r="C141" s="104">
        <f t="shared" ref="C141" si="8">SUM(C126:C140)</f>
        <v>1563107</v>
      </c>
      <c r="D141" s="104"/>
      <c r="E141" s="104">
        <f t="shared" ref="E141:I141" si="9">SUM(E126:E140)</f>
        <v>1409080</v>
      </c>
      <c r="F141" s="104">
        <f t="shared" si="9"/>
        <v>117423.33333333333</v>
      </c>
      <c r="G141" s="104"/>
      <c r="H141" s="104">
        <f t="shared" si="9"/>
        <v>138067.66666666669</v>
      </c>
      <c r="I141" s="104">
        <f t="shared" si="9"/>
        <v>1242609</v>
      </c>
      <c r="J141" s="98"/>
      <c r="M141" s="94" t="e">
        <f>#REF!*5%</f>
        <v>#REF!</v>
      </c>
    </row>
    <row r="142" spans="1:13" ht="15.75" thickTop="1" x14ac:dyDescent="0.25">
      <c r="A142" s="77"/>
      <c r="B142" s="77"/>
      <c r="C142" s="95"/>
      <c r="D142" s="95"/>
      <c r="E142" s="95"/>
      <c r="F142" s="95"/>
      <c r="G142" s="95"/>
      <c r="H142" s="95" t="s">
        <v>470</v>
      </c>
      <c r="I142" s="95"/>
      <c r="M142" s="94" t="e">
        <f>#REF!*5%</f>
        <v>#REF!</v>
      </c>
    </row>
    <row r="143" spans="1:13" ht="15" x14ac:dyDescent="0.25">
      <c r="A143" s="89" t="s">
        <v>84</v>
      </c>
      <c r="B143" s="77"/>
      <c r="C143" s="95"/>
      <c r="D143" s="95"/>
      <c r="E143" s="95"/>
      <c r="F143" s="95"/>
      <c r="G143" s="95"/>
      <c r="H143" s="95" t="s">
        <v>470</v>
      </c>
      <c r="I143" s="95"/>
      <c r="M143" s="94" t="e">
        <f>#REF!*5%</f>
        <v>#REF!</v>
      </c>
    </row>
    <row r="144" spans="1:13" ht="15" x14ac:dyDescent="0.25">
      <c r="A144" s="77" t="s">
        <v>488</v>
      </c>
      <c r="B144" s="77"/>
      <c r="C144" s="95">
        <f>'Kendall Apts'!D68</f>
        <v>6300</v>
      </c>
      <c r="D144" s="95"/>
      <c r="E144" s="95">
        <f>'Kendall Apts'!I68</f>
        <v>6300</v>
      </c>
      <c r="F144" s="95">
        <f>'Kendall Apts'!J68</f>
        <v>525</v>
      </c>
      <c r="G144" s="95"/>
      <c r="H144" s="95">
        <f>'Kendall Apts'!G68</f>
        <v>525</v>
      </c>
      <c r="I144" s="95">
        <f>'Kendall Apts'!E68</f>
        <v>4725</v>
      </c>
    </row>
    <row r="145" spans="1:13" ht="15" x14ac:dyDescent="0.25">
      <c r="A145" s="77" t="str">
        <f>A127</f>
        <v>Mountain View</v>
      </c>
      <c r="B145" s="77"/>
      <c r="C145" s="95">
        <f>'Mtn View'!D74</f>
        <v>3600</v>
      </c>
      <c r="D145" s="95"/>
      <c r="E145" s="95">
        <f>'Mtn View'!I73</f>
        <v>3600</v>
      </c>
      <c r="F145" s="95">
        <f>'Mtn View'!J74</f>
        <v>300</v>
      </c>
      <c r="G145" s="95"/>
      <c r="H145" s="95">
        <f>'Mtn View'!F74</f>
        <v>312.44444444444446</v>
      </c>
      <c r="I145" s="95">
        <f>'Mtn View'!E74</f>
        <v>2812</v>
      </c>
    </row>
    <row r="146" spans="1:13" ht="15" hidden="1" x14ac:dyDescent="0.25">
      <c r="A146" s="77" t="str">
        <f>A128</f>
        <v>Section 8</v>
      </c>
      <c r="B146" s="77"/>
      <c r="C146" s="95">
        <v>0</v>
      </c>
      <c r="D146" s="95"/>
      <c r="E146" s="95">
        <v>0</v>
      </c>
      <c r="F146" s="95">
        <v>0</v>
      </c>
      <c r="G146" s="95"/>
      <c r="H146" s="95">
        <v>0</v>
      </c>
      <c r="I146" s="95">
        <v>0</v>
      </c>
    </row>
    <row r="147" spans="1:13" ht="15" hidden="1" x14ac:dyDescent="0.25">
      <c r="A147" s="78" t="str">
        <f>A129</f>
        <v>Rehab</v>
      </c>
      <c r="B147" s="77"/>
      <c r="C147" s="95">
        <v>0</v>
      </c>
      <c r="D147" s="95"/>
      <c r="E147" s="95">
        <v>0</v>
      </c>
      <c r="F147" s="95">
        <v>0</v>
      </c>
      <c r="G147" s="95"/>
      <c r="H147" s="95">
        <v>0</v>
      </c>
      <c r="I147" s="95">
        <v>0</v>
      </c>
    </row>
    <row r="148" spans="1:13" ht="15" x14ac:dyDescent="0.25">
      <c r="A148" s="78" t="str">
        <f>A130</f>
        <v>Caesar Square</v>
      </c>
      <c r="B148" s="77"/>
      <c r="C148" s="95">
        <f>'Caesar Sq'!D90</f>
        <v>36000</v>
      </c>
      <c r="D148" s="95"/>
      <c r="E148" s="95">
        <f>'Caesar Sq'!I90</f>
        <v>36000</v>
      </c>
      <c r="F148" s="95">
        <f>'Caesar Sq'!J90</f>
        <v>3000</v>
      </c>
      <c r="G148" s="95"/>
      <c r="H148" s="95">
        <f>'Caesar Sq'!F90</f>
        <v>3000</v>
      </c>
      <c r="I148" s="95">
        <f>'Caesar Sq'!E90</f>
        <v>27000</v>
      </c>
    </row>
    <row r="149" spans="1:13" ht="15" x14ac:dyDescent="0.25">
      <c r="A149" s="78" t="s">
        <v>495</v>
      </c>
      <c r="B149" s="77"/>
      <c r="C149" s="95">
        <f>'Aspen Ridge'!D85</f>
        <v>31500</v>
      </c>
      <c r="D149" s="95"/>
      <c r="E149" s="95">
        <f>'Aspen Ridge'!I85</f>
        <v>31500</v>
      </c>
      <c r="F149" s="95">
        <f>'Aspen Ridge'!J85</f>
        <v>2625</v>
      </c>
      <c r="G149" s="95"/>
      <c r="H149" s="95">
        <f>'Aspen Ridge'!F85</f>
        <v>2625</v>
      </c>
      <c r="I149" s="95">
        <f>'Aspen Ridge'!E85</f>
        <v>23625</v>
      </c>
    </row>
    <row r="150" spans="1:13" ht="15" x14ac:dyDescent="0.25">
      <c r="A150" s="77" t="str">
        <f t="shared" ref="A150:A157" si="10">A132</f>
        <v>Redwood</v>
      </c>
      <c r="B150" s="77"/>
      <c r="C150" s="95">
        <f>'Redwood Village'!D86</f>
        <v>15000</v>
      </c>
      <c r="D150" s="95"/>
      <c r="E150" s="95">
        <f>'Redwood Village'!I86</f>
        <v>15000</v>
      </c>
      <c r="F150" s="95">
        <f>'Redwood Village'!J86</f>
        <v>1250</v>
      </c>
      <c r="G150" s="95"/>
      <c r="H150" s="95">
        <f>'Redwood Village'!F86</f>
        <v>1250</v>
      </c>
      <c r="I150" s="95">
        <f>'Redwood Village'!E86</f>
        <v>11250</v>
      </c>
    </row>
    <row r="151" spans="1:13" ht="15" x14ac:dyDescent="0.25">
      <c r="A151" s="77" t="str">
        <f t="shared" si="10"/>
        <v>Green Ridge</v>
      </c>
      <c r="B151" s="77"/>
      <c r="C151" s="95">
        <f>'Green Ridge'!D89</f>
        <v>9930</v>
      </c>
      <c r="D151" s="95"/>
      <c r="E151" s="95">
        <f>'Green Ridge'!I89</f>
        <v>9930</v>
      </c>
      <c r="F151" s="95">
        <f>'Green Ridge'!J89</f>
        <v>827.5</v>
      </c>
      <c r="G151" s="95"/>
      <c r="H151" s="95">
        <f>'Green Ridge'!F89</f>
        <v>827.55555555555554</v>
      </c>
      <c r="I151" s="95">
        <f>'Green Ridge'!E89</f>
        <v>7448</v>
      </c>
    </row>
    <row r="152" spans="1:13" ht="15" x14ac:dyDescent="0.25">
      <c r="A152" s="77" t="str">
        <f t="shared" si="10"/>
        <v>Glendale</v>
      </c>
      <c r="B152" s="77"/>
      <c r="C152" s="95">
        <f>Glendale!D89</f>
        <v>36000</v>
      </c>
      <c r="D152" s="95"/>
      <c r="E152" s="95">
        <f>Glendale!I89</f>
        <v>36000</v>
      </c>
      <c r="F152" s="95">
        <f>Glendale!J89</f>
        <v>3000</v>
      </c>
      <c r="G152" s="95"/>
      <c r="H152" s="95">
        <f>Glendale!F89</f>
        <v>3000</v>
      </c>
      <c r="I152" s="95">
        <f>Glendale!E89</f>
        <v>27000</v>
      </c>
    </row>
    <row r="153" spans="1:13" ht="15" x14ac:dyDescent="0.25">
      <c r="A153" s="78" t="str">
        <f t="shared" si="10"/>
        <v>Viking Square</v>
      </c>
      <c r="B153" s="77"/>
      <c r="C153" s="95">
        <f>'Viking Sq'!D89</f>
        <v>58500</v>
      </c>
      <c r="D153" s="95"/>
      <c r="E153" s="95">
        <f>'Viking Sq'!I89</f>
        <v>58500</v>
      </c>
      <c r="F153" s="95">
        <f>'Viking Sq'!J89</f>
        <v>4875</v>
      </c>
      <c r="G153" s="95"/>
      <c r="H153" s="95">
        <f>'Viking Sq'!F89</f>
        <v>3375</v>
      </c>
      <c r="I153" s="95">
        <f>'Viking Sq'!E89</f>
        <v>30375</v>
      </c>
    </row>
    <row r="154" spans="1:13" ht="15" x14ac:dyDescent="0.25">
      <c r="A154" s="78" t="str">
        <f t="shared" si="10"/>
        <v>Canyon Gate</v>
      </c>
      <c r="B154" s="77"/>
      <c r="C154" s="95">
        <f>'Canyon Gate'!D88</f>
        <v>13020</v>
      </c>
      <c r="D154" s="95"/>
      <c r="E154" s="95">
        <f>'Canyon Gate'!I88</f>
        <v>13020</v>
      </c>
      <c r="F154" s="95">
        <f>'Canyon Gate'!J88</f>
        <v>1085</v>
      </c>
      <c r="G154" s="95"/>
      <c r="H154" s="95">
        <f>'Canyon Gate'!F88</f>
        <v>1085</v>
      </c>
      <c r="I154" s="95">
        <f>'Canyon Gate'!E88</f>
        <v>9765</v>
      </c>
    </row>
    <row r="155" spans="1:13" ht="15" x14ac:dyDescent="0.25">
      <c r="A155" s="78" t="str">
        <f t="shared" si="10"/>
        <v>Lewis Court</v>
      </c>
      <c r="B155" s="77"/>
      <c r="C155" s="95">
        <f>'Lewis Ct'!D91</f>
        <v>13660</v>
      </c>
      <c r="D155" s="95"/>
      <c r="E155" s="95">
        <f>'Lewis Ct'!I91</f>
        <v>14070</v>
      </c>
      <c r="F155" s="95">
        <f>'Lewis Ct'!J91</f>
        <v>1172.5</v>
      </c>
      <c r="G155" s="95"/>
      <c r="H155" s="95">
        <f>'Lewis Ct'!F91</f>
        <v>1105</v>
      </c>
      <c r="I155" s="95">
        <f>'Lewis Ct'!E91</f>
        <v>9945</v>
      </c>
    </row>
    <row r="156" spans="1:13" ht="15" x14ac:dyDescent="0.25">
      <c r="A156" s="78" t="str">
        <f t="shared" si="10"/>
        <v>Harlan St</v>
      </c>
      <c r="B156" s="77"/>
      <c r="C156" s="97">
        <f>Harlan!D90</f>
        <v>0</v>
      </c>
      <c r="D156" s="97"/>
      <c r="E156" s="97">
        <f>Harlan!I90</f>
        <v>1800</v>
      </c>
      <c r="F156" s="97">
        <f>Harlan!J90</f>
        <v>150</v>
      </c>
      <c r="G156" s="97"/>
      <c r="H156" s="97">
        <f>Harlan!F90</f>
        <v>0</v>
      </c>
      <c r="I156" s="97">
        <f>Harlan!E90</f>
        <v>0</v>
      </c>
    </row>
    <row r="157" spans="1:13" ht="15" hidden="1" x14ac:dyDescent="0.25">
      <c r="A157" s="78" t="str">
        <f t="shared" si="10"/>
        <v>JCHA</v>
      </c>
      <c r="B157" s="77"/>
      <c r="C157" s="118">
        <v>0</v>
      </c>
      <c r="D157" s="118"/>
      <c r="E157" s="118">
        <v>0</v>
      </c>
      <c r="F157" s="118">
        <v>0</v>
      </c>
      <c r="G157" s="118"/>
      <c r="H157" s="118">
        <v>0</v>
      </c>
      <c r="I157" s="118">
        <v>0</v>
      </c>
    </row>
    <row r="158" spans="1:13" ht="15" x14ac:dyDescent="0.25">
      <c r="A158" s="109"/>
      <c r="B158" s="77"/>
      <c r="C158" s="95"/>
      <c r="D158" s="95"/>
      <c r="E158" s="95"/>
      <c r="F158" s="95"/>
      <c r="G158" s="95"/>
      <c r="H158" s="95"/>
      <c r="I158" s="95"/>
      <c r="M158" s="94" t="e">
        <f>#REF!*5%</f>
        <v>#REF!</v>
      </c>
    </row>
    <row r="159" spans="1:13" ht="15.75" thickBot="1" x14ac:dyDescent="0.3">
      <c r="A159" s="76" t="s">
        <v>515</v>
      </c>
      <c r="B159" s="77"/>
      <c r="C159" s="104">
        <f t="shared" ref="C159" si="11">SUM(C144:C158)</f>
        <v>223510</v>
      </c>
      <c r="D159" s="104"/>
      <c r="E159" s="104">
        <f t="shared" ref="E159:I159" si="12">SUM(E144:E158)</f>
        <v>225720</v>
      </c>
      <c r="F159" s="104">
        <f t="shared" si="12"/>
        <v>18810</v>
      </c>
      <c r="G159" s="104"/>
      <c r="H159" s="104">
        <f t="shared" si="12"/>
        <v>17105</v>
      </c>
      <c r="I159" s="104">
        <f t="shared" si="12"/>
        <v>153945</v>
      </c>
      <c r="J159" s="98"/>
      <c r="M159" s="94" t="e">
        <f>#REF!*5%</f>
        <v>#REF!</v>
      </c>
    </row>
    <row r="160" spans="1:13" ht="15.75" thickTop="1" x14ac:dyDescent="0.25">
      <c r="A160" s="77"/>
      <c r="B160" s="77"/>
      <c r="C160" s="95"/>
      <c r="D160" s="95"/>
      <c r="E160" s="95"/>
      <c r="F160" s="95"/>
      <c r="G160" s="95"/>
      <c r="H160" s="95" t="s">
        <v>470</v>
      </c>
      <c r="I160" s="95"/>
      <c r="M160" s="94" t="e">
        <f>#REF!*5%</f>
        <v>#REF!</v>
      </c>
    </row>
    <row r="161" spans="1:13" ht="15" x14ac:dyDescent="0.25">
      <c r="A161" s="76" t="s">
        <v>458</v>
      </c>
      <c r="B161" s="77"/>
      <c r="C161" s="95"/>
      <c r="D161" s="95"/>
      <c r="E161" s="95"/>
      <c r="F161" s="95"/>
      <c r="G161" s="95"/>
      <c r="H161" s="95" t="s">
        <v>470</v>
      </c>
      <c r="I161" s="95"/>
      <c r="M161" s="94" t="e">
        <f>#REF!*5%</f>
        <v>#REF!</v>
      </c>
    </row>
    <row r="162" spans="1:13" ht="15" x14ac:dyDescent="0.25">
      <c r="A162" s="77" t="s">
        <v>488</v>
      </c>
      <c r="B162" s="77"/>
      <c r="C162" s="95">
        <f>'Kendall Apts'!D79</f>
        <v>51700</v>
      </c>
      <c r="D162" s="95"/>
      <c r="E162" s="95">
        <f>'Kendall Apts'!I79</f>
        <v>39800</v>
      </c>
      <c r="F162" s="95">
        <f>'Kendall Apts'!J79</f>
        <v>3316.6666666666665</v>
      </c>
      <c r="G162" s="95"/>
      <c r="H162" s="95">
        <f>'Kendall Apts'!G79</f>
        <v>4963.8888888888887</v>
      </c>
      <c r="I162" s="95">
        <f>'Kendall Apts'!E79</f>
        <v>44675</v>
      </c>
      <c r="M162" s="94" t="e">
        <f>#REF!*5%</f>
        <v>#REF!</v>
      </c>
    </row>
    <row r="163" spans="1:13" ht="15" x14ac:dyDescent="0.25">
      <c r="A163" s="77" t="str">
        <f t="shared" ref="A163:A175" si="13">A145</f>
        <v>Mountain View</v>
      </c>
      <c r="B163" s="77"/>
      <c r="C163" s="95">
        <f>'Mtn View'!D85</f>
        <v>1070</v>
      </c>
      <c r="D163" s="95"/>
      <c r="E163" s="95">
        <f>'Mtn View'!I85</f>
        <v>12000</v>
      </c>
      <c r="F163" s="95">
        <f>'Mtn View'!J85</f>
        <v>1000</v>
      </c>
      <c r="G163" s="95"/>
      <c r="H163" s="95">
        <f>'Mtn View'!F85</f>
        <v>472.66666666666669</v>
      </c>
      <c r="I163" s="95">
        <f>'Mtn View'!E85</f>
        <v>4254</v>
      </c>
      <c r="K163" s="114"/>
    </row>
    <row r="164" spans="1:13" ht="15" x14ac:dyDescent="0.25">
      <c r="A164" s="77" t="str">
        <f t="shared" si="13"/>
        <v>Section 8</v>
      </c>
      <c r="B164" s="77"/>
      <c r="C164" s="95">
        <f>Vouchers!D59</f>
        <v>31500</v>
      </c>
      <c r="D164" s="95"/>
      <c r="E164" s="95">
        <f>Vouchers!I59</f>
        <v>30000</v>
      </c>
      <c r="F164" s="95">
        <f>Vouchers!J59</f>
        <v>2500</v>
      </c>
      <c r="G164" s="95"/>
      <c r="H164" s="95">
        <f>Vouchers!F59</f>
        <v>3465.7777777777778</v>
      </c>
      <c r="I164" s="95">
        <f>Vouchers!E59</f>
        <v>31192</v>
      </c>
    </row>
    <row r="165" spans="1:13" ht="15" x14ac:dyDescent="0.25">
      <c r="A165" s="78" t="str">
        <f t="shared" si="13"/>
        <v>Rehab</v>
      </c>
      <c r="B165" s="77"/>
      <c r="C165" s="95">
        <f>Rehab!D63</f>
        <v>1500</v>
      </c>
      <c r="D165" s="95"/>
      <c r="E165" s="95">
        <f>Rehab!I63</f>
        <v>0</v>
      </c>
      <c r="F165" s="95">
        <f>Rehab!J63</f>
        <v>0</v>
      </c>
      <c r="G165" s="95"/>
      <c r="H165" s="95">
        <f>Rehab!F63</f>
        <v>0</v>
      </c>
      <c r="I165" s="95">
        <f>Rehab!E63</f>
        <v>0</v>
      </c>
    </row>
    <row r="166" spans="1:13" ht="15" x14ac:dyDescent="0.25">
      <c r="A166" s="78" t="str">
        <f t="shared" si="13"/>
        <v>Caesar Square</v>
      </c>
      <c r="B166" s="77"/>
      <c r="C166" s="95">
        <f>'Caesar Sq'!D100</f>
        <v>118000</v>
      </c>
      <c r="D166" s="95"/>
      <c r="E166" s="95">
        <f>'Caesar Sq'!I100</f>
        <v>105000</v>
      </c>
      <c r="F166" s="95">
        <f>'Caesar Sq'!J100</f>
        <v>8750</v>
      </c>
      <c r="G166" s="95"/>
      <c r="H166" s="95">
        <f>'Caesar Sq'!F100</f>
        <v>13996.666666666666</v>
      </c>
      <c r="I166" s="95">
        <f>'Caesar Sq'!E100</f>
        <v>125970</v>
      </c>
    </row>
    <row r="167" spans="1:13" ht="15" x14ac:dyDescent="0.25">
      <c r="A167" s="78" t="str">
        <f t="shared" si="13"/>
        <v>Aspen Ridge</v>
      </c>
      <c r="B167" s="77"/>
      <c r="C167" s="95">
        <f>'Aspen Ridge'!D96</f>
        <v>90600</v>
      </c>
      <c r="D167" s="95"/>
      <c r="E167" s="95">
        <f>'Aspen Ridge'!I96</f>
        <v>66000</v>
      </c>
      <c r="F167" s="95">
        <f>'Aspen Ridge'!J96</f>
        <v>5500</v>
      </c>
      <c r="G167" s="95"/>
      <c r="H167" s="95">
        <f>'Aspen Ridge'!F96</f>
        <v>4826.6666666666661</v>
      </c>
      <c r="I167" s="95">
        <f>'Aspen Ridge'!E96</f>
        <v>43440</v>
      </c>
    </row>
    <row r="168" spans="1:13" ht="15" x14ac:dyDescent="0.25">
      <c r="A168" s="77" t="str">
        <f t="shared" si="13"/>
        <v>Redwood</v>
      </c>
      <c r="B168" s="77"/>
      <c r="C168" s="95">
        <f>'Redwood Village'!D96</f>
        <v>55800</v>
      </c>
      <c r="D168" s="95"/>
      <c r="E168" s="95">
        <f>'Redwood Village'!I96</f>
        <v>33000</v>
      </c>
      <c r="F168" s="95">
        <f>'Redwood Village'!J96</f>
        <v>5250.0000000000009</v>
      </c>
      <c r="G168" s="95"/>
      <c r="H168" s="95">
        <f>'Redwood Village'!F96</f>
        <v>927.55555555555554</v>
      </c>
      <c r="I168" s="95">
        <f>'Redwood Village'!E96</f>
        <v>8348</v>
      </c>
    </row>
    <row r="169" spans="1:13" ht="15" x14ac:dyDescent="0.25">
      <c r="A169" s="77" t="str">
        <f t="shared" si="13"/>
        <v>Green Ridge</v>
      </c>
      <c r="B169" s="77"/>
      <c r="C169" s="95">
        <f>'Green Ridge'!D102</f>
        <v>28500</v>
      </c>
      <c r="D169" s="95"/>
      <c r="E169" s="95">
        <f>'Green Ridge'!I102</f>
        <v>5000</v>
      </c>
      <c r="F169" s="95">
        <f>'Green Ridge'!J102</f>
        <v>416.66666666666669</v>
      </c>
      <c r="G169" s="95"/>
      <c r="H169" s="95">
        <f>'Green Ridge'!F102</f>
        <v>864.22222222222217</v>
      </c>
      <c r="I169" s="95">
        <f>'Green Ridge'!E102</f>
        <v>7778</v>
      </c>
      <c r="M169" s="94" t="e">
        <f>#REF!*5%</f>
        <v>#REF!</v>
      </c>
    </row>
    <row r="170" spans="1:13" ht="15" x14ac:dyDescent="0.25">
      <c r="A170" s="77" t="str">
        <f t="shared" si="13"/>
        <v>Glendale</v>
      </c>
      <c r="B170" s="77"/>
      <c r="C170" s="95">
        <f>Glendale!D98</f>
        <v>66000</v>
      </c>
      <c r="D170" s="95"/>
      <c r="E170" s="95">
        <f>Glendale!I98</f>
        <v>24000</v>
      </c>
      <c r="F170" s="95">
        <f>Glendale!J98</f>
        <v>2000</v>
      </c>
      <c r="G170" s="95"/>
      <c r="H170" s="95">
        <f>Glendale!F98</f>
        <v>6559.5555555555557</v>
      </c>
      <c r="I170" s="95">
        <f>Glendale!E98</f>
        <v>59036</v>
      </c>
      <c r="M170" s="94" t="e">
        <f>#REF!*5%</f>
        <v>#REF!</v>
      </c>
    </row>
    <row r="171" spans="1:13" ht="15" x14ac:dyDescent="0.25">
      <c r="A171" s="78" t="str">
        <f t="shared" si="13"/>
        <v>Viking Square</v>
      </c>
      <c r="B171" s="77"/>
      <c r="C171" s="95">
        <f>'Viking Sq'!D98</f>
        <v>38900</v>
      </c>
      <c r="D171" s="95"/>
      <c r="E171" s="95">
        <f>'Viking Sq'!I98</f>
        <v>0</v>
      </c>
      <c r="F171" s="95">
        <f>'Viking Sq'!J98</f>
        <v>0</v>
      </c>
      <c r="G171" s="95"/>
      <c r="H171" s="95">
        <f>'Viking Sq'!F98</f>
        <v>4518.2222222222226</v>
      </c>
      <c r="I171" s="95">
        <f>'Viking Sq'!E98</f>
        <v>40664</v>
      </c>
      <c r="M171" s="94" t="e">
        <f>#REF!*5%</f>
        <v>#REF!</v>
      </c>
    </row>
    <row r="172" spans="1:13" ht="15" x14ac:dyDescent="0.25">
      <c r="A172" s="78" t="str">
        <f t="shared" si="13"/>
        <v>Canyon Gate</v>
      </c>
      <c r="B172" s="77"/>
      <c r="C172" s="95">
        <f>'Canyon Gate'!D101</f>
        <v>44500</v>
      </c>
      <c r="D172" s="95"/>
      <c r="E172" s="95">
        <f>'Canyon Gate'!I101</f>
        <v>21500</v>
      </c>
      <c r="F172" s="95">
        <f>'Canyon Gate'!J101</f>
        <v>1791.6666666666667</v>
      </c>
      <c r="G172" s="95"/>
      <c r="H172" s="95">
        <f>'Canyon Gate'!F101</f>
        <v>954.8888888888888</v>
      </c>
      <c r="I172" s="95">
        <f>'Canyon Gate'!E101</f>
        <v>8594</v>
      </c>
    </row>
    <row r="173" spans="1:13" ht="15" x14ac:dyDescent="0.25">
      <c r="A173" s="78" t="str">
        <f t="shared" si="13"/>
        <v>Lewis Court</v>
      </c>
      <c r="B173" s="77"/>
      <c r="C173" s="95">
        <f>'Lewis Ct'!D104</f>
        <v>8700</v>
      </c>
      <c r="D173" s="95"/>
      <c r="E173" s="95">
        <f>'Lewis Ct'!I104</f>
        <v>14600</v>
      </c>
      <c r="F173" s="95">
        <f>'Lewis Ct'!J104</f>
        <v>1216.6666666666667</v>
      </c>
      <c r="G173" s="95"/>
      <c r="H173" s="95">
        <f>'Lewis Ct'!F104</f>
        <v>933.66666666666674</v>
      </c>
      <c r="I173" s="95">
        <f>'Lewis Ct'!E104</f>
        <v>8403</v>
      </c>
    </row>
    <row r="174" spans="1:13" ht="15" x14ac:dyDescent="0.25">
      <c r="A174" s="78" t="str">
        <f t="shared" si="13"/>
        <v>Harlan St</v>
      </c>
      <c r="B174" s="77"/>
      <c r="C174" s="95">
        <f>Harlan!D103</f>
        <v>0</v>
      </c>
      <c r="D174" s="95"/>
      <c r="E174" s="95">
        <f>Harlan!I103</f>
        <v>2500</v>
      </c>
      <c r="F174" s="95">
        <f>Harlan!J103</f>
        <v>208.33333333333334</v>
      </c>
      <c r="G174" s="95"/>
      <c r="H174" s="95">
        <f>Harlan!F103</f>
        <v>0</v>
      </c>
      <c r="I174" s="95">
        <f>Harlan!E103</f>
        <v>0</v>
      </c>
    </row>
    <row r="175" spans="1:13" ht="15" x14ac:dyDescent="0.25">
      <c r="A175" s="78" t="str">
        <f t="shared" si="13"/>
        <v>JCHA</v>
      </c>
      <c r="B175" s="77"/>
      <c r="C175" s="97">
        <f>'JCHA '!D96</f>
        <v>11750</v>
      </c>
      <c r="D175" s="97"/>
      <c r="E175" s="97">
        <f>'JCHA '!I96</f>
        <v>27000</v>
      </c>
      <c r="F175" s="97">
        <f>'JCHA '!J96</f>
        <v>2250</v>
      </c>
      <c r="G175" s="97"/>
      <c r="H175" s="97">
        <f>'JCHA '!F96</f>
        <v>220</v>
      </c>
      <c r="I175" s="97">
        <f>'JCHA '!E96</f>
        <v>1980</v>
      </c>
    </row>
    <row r="176" spans="1:13" ht="15" x14ac:dyDescent="0.25">
      <c r="A176" s="109"/>
      <c r="B176" s="77"/>
      <c r="C176" s="95"/>
      <c r="D176" s="95"/>
      <c r="E176" s="95"/>
      <c r="F176" s="95"/>
      <c r="G176" s="95"/>
      <c r="H176" s="95"/>
      <c r="I176" s="95"/>
    </row>
    <row r="177" spans="1:10" ht="15.75" thickBot="1" x14ac:dyDescent="0.3">
      <c r="A177" s="76" t="s">
        <v>516</v>
      </c>
      <c r="B177" s="77"/>
      <c r="C177" s="104">
        <f>SUM(C162:C176)</f>
        <v>548520</v>
      </c>
      <c r="D177" s="104"/>
      <c r="E177" s="104">
        <f>SUM(E162:E176)</f>
        <v>380400</v>
      </c>
      <c r="F177" s="104">
        <f>SUM(F162:F176)</f>
        <v>34200</v>
      </c>
      <c r="G177" s="104"/>
      <c r="H177" s="104">
        <f>SUM(H162:H176)</f>
        <v>42703.777777777774</v>
      </c>
      <c r="I177" s="104">
        <f>SUM(I162:I176)</f>
        <v>384334</v>
      </c>
      <c r="J177" s="98"/>
    </row>
    <row r="178" spans="1:10" ht="15.75" thickTop="1" x14ac:dyDescent="0.25">
      <c r="A178" s="76"/>
      <c r="B178" s="77"/>
      <c r="C178" s="115"/>
      <c r="D178" s="115"/>
      <c r="E178" s="115"/>
      <c r="F178" s="115"/>
      <c r="G178" s="115"/>
      <c r="H178" s="115"/>
      <c r="I178" s="115"/>
      <c r="J178" s="98"/>
    </row>
    <row r="179" spans="1:10" ht="15" x14ac:dyDescent="0.25">
      <c r="A179" s="76" t="s">
        <v>517</v>
      </c>
      <c r="B179" s="77"/>
      <c r="C179" s="95"/>
      <c r="D179" s="95"/>
      <c r="E179" s="95"/>
      <c r="F179" s="95"/>
      <c r="G179" s="95"/>
      <c r="H179" s="95"/>
      <c r="I179" s="95"/>
    </row>
    <row r="180" spans="1:10" ht="15" x14ac:dyDescent="0.25">
      <c r="A180" s="77" t="str">
        <f>A164</f>
        <v>Section 8</v>
      </c>
      <c r="B180" s="77"/>
      <c r="C180" s="95">
        <f>Vouchers!D54</f>
        <v>9635000</v>
      </c>
      <c r="D180" s="95"/>
      <c r="E180" s="95">
        <f>Vouchers!I54</f>
        <v>10343890</v>
      </c>
      <c r="F180" s="95">
        <f>Vouchers!J54</f>
        <v>861990.83333333337</v>
      </c>
      <c r="G180" s="95"/>
      <c r="H180" s="95">
        <f>Vouchers!F54</f>
        <v>856144.77777777775</v>
      </c>
      <c r="I180" s="95">
        <f>Vouchers!E54</f>
        <v>7705303</v>
      </c>
    </row>
    <row r="181" spans="1:10" ht="15" x14ac:dyDescent="0.25">
      <c r="A181" s="77"/>
      <c r="B181" s="77"/>
      <c r="C181" s="97"/>
      <c r="D181" s="97"/>
      <c r="E181" s="97"/>
      <c r="F181" s="97"/>
      <c r="G181" s="97"/>
      <c r="H181" s="97"/>
      <c r="I181" s="97"/>
    </row>
    <row r="182" spans="1:10" ht="15" x14ac:dyDescent="0.25">
      <c r="A182" s="76" t="s">
        <v>518</v>
      </c>
      <c r="B182" s="77"/>
      <c r="C182" s="115">
        <f>SUM(C180:C181)</f>
        <v>9635000</v>
      </c>
      <c r="D182" s="115"/>
      <c r="E182" s="115">
        <f>SUM(E180:E181)</f>
        <v>10343890</v>
      </c>
      <c r="F182" s="115">
        <f>SUM(F180:F181)</f>
        <v>861990.83333333337</v>
      </c>
      <c r="G182" s="115"/>
      <c r="H182" s="115">
        <f>SUM(H180:H181)</f>
        <v>856144.77777777775</v>
      </c>
      <c r="I182" s="115">
        <f>SUM(I180:I181)</f>
        <v>7705303</v>
      </c>
      <c r="J182" s="98"/>
    </row>
    <row r="183" spans="1:10" ht="15" x14ac:dyDescent="0.25">
      <c r="A183" s="76"/>
      <c r="B183" s="77"/>
      <c r="C183" s="115"/>
      <c r="D183" s="115"/>
      <c r="E183" s="115"/>
      <c r="F183" s="115"/>
      <c r="G183" s="115"/>
      <c r="H183" s="115"/>
      <c r="I183" s="115"/>
      <c r="J183" s="98"/>
    </row>
    <row r="184" spans="1:10" ht="15" x14ac:dyDescent="0.25">
      <c r="A184" s="77"/>
      <c r="B184" s="77"/>
      <c r="C184" s="95"/>
      <c r="D184" s="95"/>
      <c r="E184" s="95"/>
      <c r="F184" s="95"/>
      <c r="G184" s="95"/>
      <c r="H184" s="95" t="s">
        <v>470</v>
      </c>
      <c r="I184" s="95"/>
    </row>
    <row r="185" spans="1:10" ht="15" x14ac:dyDescent="0.25">
      <c r="A185" s="76" t="s">
        <v>519</v>
      </c>
      <c r="B185" s="77"/>
      <c r="C185" s="116">
        <f>SUM(C177+C159+C141+C122+C104+C85+C67+C182)</f>
        <v>18285431.866208334</v>
      </c>
      <c r="D185" s="116"/>
      <c r="E185" s="116">
        <f>SUM(E177+E159+E141+E122+E104+E85+E67+E182)</f>
        <v>19166980.158866666</v>
      </c>
      <c r="F185" s="116">
        <f>SUM(F177+F159+F141+F122+F104+F85+F67+F182)</f>
        <v>1599740.0132388889</v>
      </c>
      <c r="G185" s="116"/>
      <c r="H185" s="116">
        <f>SUM(H177+H159+H141+H122+H104+H85+H67+H182)</f>
        <v>1599701.5866666664</v>
      </c>
      <c r="I185" s="116">
        <f>SUM(I177+I159+I141+I122+I104+I85+I67+I182)</f>
        <v>14397314.279999999</v>
      </c>
      <c r="J185" s="98"/>
    </row>
    <row r="186" spans="1:10" ht="15" x14ac:dyDescent="0.25">
      <c r="A186" s="77"/>
      <c r="B186" s="77"/>
      <c r="C186" s="95"/>
      <c r="D186" s="115"/>
      <c r="E186" s="95"/>
      <c r="F186" s="115"/>
      <c r="G186" s="115"/>
      <c r="H186" s="95" t="s">
        <v>470</v>
      </c>
      <c r="I186" s="115"/>
      <c r="J186" s="98"/>
    </row>
    <row r="187" spans="1:10" ht="15" x14ac:dyDescent="0.25">
      <c r="A187" s="76" t="s">
        <v>520</v>
      </c>
      <c r="B187" s="77"/>
      <c r="C187" s="115">
        <f>SUM(C27+C185)</f>
        <v>883016.54096388817</v>
      </c>
      <c r="D187" s="115"/>
      <c r="E187" s="115">
        <f>SUM(E27+E185)</f>
        <v>713146.78886666521</v>
      </c>
      <c r="F187" s="115">
        <f>SUM(F27+F185)</f>
        <v>64170.565738888923</v>
      </c>
      <c r="G187" s="115"/>
      <c r="H187" s="115">
        <f>SUM(H27+H185)</f>
        <v>76977.371111110784</v>
      </c>
      <c r="I187" s="115">
        <f>SUM(I27+I185)</f>
        <v>695821.33999999985</v>
      </c>
      <c r="J187" s="98"/>
    </row>
    <row r="188" spans="1:10" ht="15" x14ac:dyDescent="0.25">
      <c r="A188" s="77"/>
      <c r="B188" s="77"/>
      <c r="C188" s="95"/>
      <c r="D188" s="95"/>
      <c r="E188" s="95"/>
      <c r="F188" s="95"/>
      <c r="G188" s="95"/>
      <c r="H188" s="95"/>
      <c r="I188" s="95"/>
    </row>
    <row r="189" spans="1:10" ht="15" x14ac:dyDescent="0.25">
      <c r="A189" s="77"/>
      <c r="B189" s="77"/>
      <c r="C189" s="95"/>
      <c r="D189" s="95"/>
      <c r="E189" s="95"/>
      <c r="F189" s="95"/>
      <c r="G189" s="95"/>
      <c r="H189" s="95"/>
      <c r="I189" s="95"/>
    </row>
    <row r="190" spans="1:10" ht="15" x14ac:dyDescent="0.25">
      <c r="A190" s="76" t="s">
        <v>521</v>
      </c>
      <c r="B190" s="76"/>
      <c r="C190" s="116">
        <f>-'Kendall Apts'!D63-'Mtn View'!D64-Vouchers!D48-Rehab!D56-'Caesar Sq'!D80-'Aspen Ridge'!D74-'Redwood Village'!D75-'Green Ridge'!D79-Glendale!D78-'Viking Sq'!D78-'Canyon Gate'!D78-'Lewis Ct'!D81-Harlan!D80-'JCHA '!D87</f>
        <v>-1138249.9102666667</v>
      </c>
      <c r="D190" s="116"/>
      <c r="E190" s="116">
        <f>-'Kendall Apts'!I63-'Mtn View'!I64-Vouchers!I48-Rehab!I56-'Caesar Sq'!I80-'Aspen Ridge'!I74-'Redwood Village'!I75-'Green Ridge'!I79-Glendale!I78-'Viking Sq'!I78-'Canyon Gate'!I78-'Lewis Ct'!I81-Harlan!I80-'JCHA '!I87</f>
        <v>-1196940</v>
      </c>
      <c r="F190" s="116">
        <f>-'Kendall Apts'!J63-'Mtn View'!J64-Vouchers!J48-Rehab!J56-'Caesar Sq'!J80-'Aspen Ridge'!J74-'Redwood Village'!J75-'Green Ridge'!J79-Glendale!J78-'Viking Sq'!J78-'Canyon Gate'!J78-'Lewis Ct'!J81-Harlan!J80-'JCHA '!J87</f>
        <v>-99745</v>
      </c>
      <c r="G190" s="116"/>
      <c r="H190" s="116">
        <f>-'Kendall Apts'!G63-'Mtn View'!F64-Vouchers!F48-Rehab!F56-'Caesar Sq'!F80-'Aspen Ridge'!F74-'Redwood Village'!F75-'Green Ridge'!F79-Glendale!F78-'Viking Sq'!F78-'Canyon Gate'!F78-'Lewis Ct'!F81-Harlan!F80-'JCHA '!F87</f>
        <v>-96745.111111111124</v>
      </c>
      <c r="I190" s="116">
        <f>-'Kendall Apts'!E63-'Mtn View'!E64-Vouchers!E48-Rehab!E56-'Caesar Sq'!E80-'Aspen Ridge'!E74-'Redwood Village'!E75-'Green Ridge'!E79-Glendale!E78-'Viking Sq'!E78-'Canyon Gate'!E78-'Lewis Ct'!E81-Harlan!E80-'JCHA '!E87</f>
        <v>-870706</v>
      </c>
    </row>
    <row r="191" spans="1:10" ht="15" x14ac:dyDescent="0.25">
      <c r="A191" s="77"/>
      <c r="B191" s="77"/>
      <c r="C191" s="117"/>
      <c r="D191" s="118"/>
      <c r="E191" s="117"/>
      <c r="F191" s="118"/>
      <c r="G191" s="118"/>
      <c r="H191" s="118"/>
      <c r="I191" s="118"/>
    </row>
    <row r="192" spans="1:10" ht="15.75" thickBot="1" x14ac:dyDescent="0.3">
      <c r="A192" s="76" t="s">
        <v>522</v>
      </c>
      <c r="B192" s="76"/>
      <c r="C192" s="119">
        <f>SUM(C187:C191)</f>
        <v>-255233.3693027785</v>
      </c>
      <c r="D192" s="119"/>
      <c r="E192" s="119">
        <f>SUM(E187:E191)</f>
        <v>-483793.21113333479</v>
      </c>
      <c r="F192" s="119">
        <f>SUM(F187:F191)</f>
        <v>-35574.434261111077</v>
      </c>
      <c r="G192" s="119"/>
      <c r="H192" s="119">
        <f>SUM(H187:H191)</f>
        <v>-19767.74000000034</v>
      </c>
      <c r="I192" s="119">
        <f>SUM(I187:I191)</f>
        <v>-174884.66000000015</v>
      </c>
    </row>
    <row r="193" spans="1:9" ht="15" x14ac:dyDescent="0.25">
      <c r="A193" s="77"/>
      <c r="B193" s="77"/>
      <c r="C193" s="77"/>
      <c r="D193" s="77"/>
      <c r="E193" s="83"/>
      <c r="F193" s="77"/>
      <c r="G193" s="77"/>
      <c r="H193" s="77"/>
      <c r="I193" s="77"/>
    </row>
    <row r="194" spans="1:9" x14ac:dyDescent="0.2">
      <c r="E194" s="93"/>
    </row>
    <row r="196" spans="1:9" x14ac:dyDescent="0.2">
      <c r="A196" s="120"/>
      <c r="I196" s="120"/>
    </row>
  </sheetData>
  <pageMargins left="0.75" right="0.44" top="1" bottom="1" header="0.5" footer="0.5"/>
  <pageSetup scale="65" fitToHeight="4" orientation="portrait" r:id="rId1"/>
  <headerFooter alignWithMargins="0"/>
  <rowBreaks count="3" manualBreakCount="3">
    <brk id="48" max="9" man="1"/>
    <brk id="104" max="9" man="1"/>
    <brk id="16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zoomScale="80" zoomScaleNormal="80" workbookViewId="0">
      <pane xSplit="3" ySplit="5" topLeftCell="D48" activePane="bottomRight" state="frozen"/>
      <selection activeCell="I38" sqref="I38"/>
      <selection pane="topRight" activeCell="I38" sqref="I38"/>
      <selection pane="bottomLeft" activeCell="I38" sqref="I38"/>
      <selection pane="bottomRight" activeCell="A61" sqref="A61:XFD62"/>
    </sheetView>
  </sheetViews>
  <sheetFormatPr defaultRowHeight="21" x14ac:dyDescent="0.35"/>
  <cols>
    <col min="1" max="1" width="57.140625" style="134" bestFit="1" customWidth="1"/>
    <col min="2" max="2" width="9.140625" style="134" hidden="1" customWidth="1"/>
    <col min="3" max="3" width="12" style="134" hidden="1" customWidth="1"/>
    <col min="4" max="4" width="18.85546875" style="134" bestFit="1" customWidth="1"/>
    <col min="5" max="5" width="16.28515625" style="134" bestFit="1" customWidth="1"/>
    <col min="6" max="6" width="14.28515625" style="134" bestFit="1" customWidth="1"/>
    <col min="7" max="7" width="3" style="134" customWidth="1"/>
    <col min="8" max="8" width="0" style="134" hidden="1" customWidth="1"/>
    <col min="9" max="9" width="33.28515625" style="134" customWidth="1"/>
    <col min="10" max="10" width="13.28515625" style="134" customWidth="1"/>
    <col min="11" max="11" width="67.85546875" style="134" bestFit="1" customWidth="1"/>
    <col min="12" max="12" width="9.28515625" style="134" bestFit="1" customWidth="1"/>
    <col min="13" max="13" width="12.140625" style="134" bestFit="1" customWidth="1"/>
    <col min="14" max="14" width="9.5703125" style="134" bestFit="1" customWidth="1"/>
    <col min="15" max="16384" width="9.140625" style="134"/>
  </cols>
  <sheetData>
    <row r="1" spans="1:17" x14ac:dyDescent="0.35">
      <c r="I1" s="135" t="str">
        <f>'Caesar Sq'!I1</f>
        <v>Projected Annual Budget 2016</v>
      </c>
      <c r="J1" s="136"/>
      <c r="K1" s="137"/>
    </row>
    <row r="2" spans="1:17" x14ac:dyDescent="0.35">
      <c r="I2" s="138" t="s">
        <v>395</v>
      </c>
      <c r="J2" s="139"/>
      <c r="K2" s="173" t="s">
        <v>613</v>
      </c>
    </row>
    <row r="3" spans="1:17" ht="21.75" thickBot="1" x14ac:dyDescent="0.4">
      <c r="A3" s="36" t="s">
        <v>480</v>
      </c>
      <c r="D3" s="36"/>
      <c r="H3" s="201"/>
      <c r="I3" s="142"/>
      <c r="J3" s="139"/>
      <c r="K3" s="140"/>
    </row>
    <row r="4" spans="1:17" ht="63.75" thickBot="1" x14ac:dyDescent="0.4">
      <c r="A4" s="143" t="s">
        <v>77</v>
      </c>
      <c r="B4" s="143" t="s">
        <v>78</v>
      </c>
      <c r="C4" s="143" t="s">
        <v>79</v>
      </c>
      <c r="D4" s="144" t="str">
        <f>'Caesar Sq'!D4</f>
        <v>2015 Annual Budget</v>
      </c>
      <c r="E4" s="144" t="str">
        <f>'Caesar Sq'!E4</f>
        <v>YTD Actual FY 2015 @ 9/30/15</v>
      </c>
      <c r="F4" s="144" t="str">
        <f>'Caesar Sq'!F4</f>
        <v>FY 2015 - 9 month Avg</v>
      </c>
      <c r="G4" s="271"/>
      <c r="H4" s="145"/>
      <c r="I4" s="204" t="s">
        <v>430</v>
      </c>
      <c r="J4" s="147" t="s">
        <v>431</v>
      </c>
      <c r="K4" s="148"/>
      <c r="L4" s="201"/>
      <c r="M4" s="201"/>
      <c r="N4" s="201"/>
      <c r="O4" s="201"/>
      <c r="P4" s="201"/>
      <c r="Q4" s="201"/>
    </row>
    <row r="5" spans="1:17" x14ac:dyDescent="0.35">
      <c r="A5" s="134" t="s">
        <v>33</v>
      </c>
      <c r="B5" s="134">
        <v>3</v>
      </c>
      <c r="C5" s="170">
        <f>SUM('[2]2014'!C2:E2)-11</f>
        <v>-2551410.09</v>
      </c>
      <c r="D5" s="141">
        <v>-917690</v>
      </c>
      <c r="E5" s="141">
        <v>-724493</v>
      </c>
      <c r="F5" s="141">
        <f>E5/9</f>
        <v>-80499.222222222219</v>
      </c>
      <c r="H5" s="155">
        <v>0</v>
      </c>
      <c r="I5" s="155">
        <v>-973240</v>
      </c>
      <c r="J5" s="156">
        <f>I5/12</f>
        <v>-81103.333333333328</v>
      </c>
      <c r="K5" s="161"/>
      <c r="M5" s="134">
        <f>SUM(E5)+(F5*3)*1.03</f>
        <v>-973235.59666666668</v>
      </c>
      <c r="N5" s="36" t="s">
        <v>80</v>
      </c>
    </row>
    <row r="6" spans="1:17" x14ac:dyDescent="0.35">
      <c r="A6" s="150" t="s">
        <v>216</v>
      </c>
      <c r="B6" s="150">
        <v>3</v>
      </c>
      <c r="C6" s="170">
        <f>SUM('[2]2014'!C3:E3)+60000</f>
        <v>-179911.18</v>
      </c>
      <c r="D6" s="141">
        <v>-79960</v>
      </c>
      <c r="E6" s="141">
        <v>-60496</v>
      </c>
      <c r="F6" s="141">
        <f t="shared" ref="F6:F11" si="0">E6/9</f>
        <v>-6721.7777777777774</v>
      </c>
      <c r="G6" s="271"/>
      <c r="H6" s="155">
        <v>0</v>
      </c>
      <c r="I6" s="155">
        <v>-81270</v>
      </c>
      <c r="J6" s="156">
        <f t="shared" ref="J6:J95" si="1">I6/12</f>
        <v>-6772.5</v>
      </c>
      <c r="M6" s="134">
        <f>SUM(E6)+(F6*3)*1.03</f>
        <v>-81266.293333333335</v>
      </c>
      <c r="N6" s="161">
        <v>0.05</v>
      </c>
    </row>
    <row r="7" spans="1:17" x14ac:dyDescent="0.35">
      <c r="A7" s="150" t="s">
        <v>34</v>
      </c>
      <c r="B7" s="150">
        <v>3</v>
      </c>
      <c r="C7" s="170">
        <f>SUM('[2]2014'!C4:E4)-15906</f>
        <v>28396.380000000005</v>
      </c>
      <c r="D7" s="141">
        <v>18350</v>
      </c>
      <c r="E7" s="141">
        <v>7844</v>
      </c>
      <c r="F7" s="141">
        <f t="shared" si="0"/>
        <v>871.55555555555554</v>
      </c>
      <c r="G7" s="141"/>
      <c r="H7" s="155">
        <f t="shared" ref="H7:H12" si="2">D7*$N$8</f>
        <v>550.5</v>
      </c>
      <c r="I7" s="155">
        <v>19460</v>
      </c>
      <c r="J7" s="156">
        <f t="shared" si="1"/>
        <v>1621.6666666666667</v>
      </c>
      <c r="K7" s="173" t="s">
        <v>555</v>
      </c>
      <c r="M7" s="134">
        <f>SUM(I5)*0.02</f>
        <v>-19464.8</v>
      </c>
      <c r="N7" s="36" t="s">
        <v>396</v>
      </c>
    </row>
    <row r="8" spans="1:17" x14ac:dyDescent="0.35">
      <c r="A8" s="150" t="s">
        <v>35</v>
      </c>
      <c r="B8" s="150">
        <v>3</v>
      </c>
      <c r="C8" s="170">
        <f>SUM('[2]2014'!C5:E5)-16</f>
        <v>-552.97</v>
      </c>
      <c r="D8" s="141">
        <v>-220</v>
      </c>
      <c r="E8" s="141">
        <v>-118</v>
      </c>
      <c r="F8" s="141">
        <f t="shared" si="0"/>
        <v>-13.111111111111111</v>
      </c>
      <c r="G8" s="141"/>
      <c r="H8" s="155">
        <v>0</v>
      </c>
      <c r="I8" s="155">
        <v>-160</v>
      </c>
      <c r="J8" s="156">
        <f t="shared" si="1"/>
        <v>-13.333333333333334</v>
      </c>
      <c r="M8" s="134">
        <f>SUM(E8)+(F8*3)*1.03</f>
        <v>-158.51333333333332</v>
      </c>
      <c r="N8" s="161">
        <v>0.03</v>
      </c>
    </row>
    <row r="9" spans="1:17" x14ac:dyDescent="0.35">
      <c r="A9" s="150" t="s">
        <v>300</v>
      </c>
      <c r="B9" s="150">
        <v>3</v>
      </c>
      <c r="C9" s="170">
        <f>SUM('[2]2014'!C6:E6)</f>
        <v>-22253.1</v>
      </c>
      <c r="D9" s="141">
        <v>-7340</v>
      </c>
      <c r="E9" s="141">
        <v>-6887</v>
      </c>
      <c r="F9" s="141">
        <f t="shared" si="0"/>
        <v>-765.22222222222217</v>
      </c>
      <c r="G9" s="141"/>
      <c r="H9" s="155">
        <f t="shared" si="2"/>
        <v>-220.2</v>
      </c>
      <c r="I9" s="155">
        <v>-9250</v>
      </c>
      <c r="J9" s="156">
        <f t="shared" si="1"/>
        <v>-770.83333333333337</v>
      </c>
      <c r="M9" s="134">
        <f>SUM(E9)+(F9*3)*1.03</f>
        <v>-9251.5366666666669</v>
      </c>
    </row>
    <row r="10" spans="1:17" x14ac:dyDescent="0.35">
      <c r="A10" s="150" t="s">
        <v>37</v>
      </c>
      <c r="B10" s="150">
        <v>3</v>
      </c>
      <c r="C10" s="170">
        <f>SUM('[2]2014'!C7:E7)</f>
        <v>-7019</v>
      </c>
      <c r="D10" s="141">
        <v>-1980</v>
      </c>
      <c r="E10" s="141">
        <v>-1165</v>
      </c>
      <c r="F10" s="141">
        <f t="shared" si="0"/>
        <v>-129.44444444444446</v>
      </c>
      <c r="G10" s="141"/>
      <c r="H10" s="155">
        <f t="shared" si="2"/>
        <v>-59.4</v>
      </c>
      <c r="I10" s="155">
        <v>-1570</v>
      </c>
      <c r="J10" s="156">
        <f t="shared" si="1"/>
        <v>-130.83333333333334</v>
      </c>
      <c r="M10" s="134">
        <f>SUM(E10)+(F10*3)*1.03</f>
        <v>-1564.9833333333333</v>
      </c>
    </row>
    <row r="11" spans="1:17" x14ac:dyDescent="0.35">
      <c r="A11" s="150" t="s">
        <v>301</v>
      </c>
      <c r="B11" s="150">
        <v>3</v>
      </c>
      <c r="C11" s="170">
        <f>SUM('[2]2014'!C8:E8)-21</f>
        <v>-6291</v>
      </c>
      <c r="D11" s="141">
        <v>-2160</v>
      </c>
      <c r="E11" s="141">
        <v>-1830</v>
      </c>
      <c r="F11" s="141">
        <f t="shared" si="0"/>
        <v>-203.33333333333334</v>
      </c>
      <c r="G11" s="141"/>
      <c r="H11" s="155">
        <f t="shared" si="2"/>
        <v>-64.8</v>
      </c>
      <c r="I11" s="155">
        <v>-2460</v>
      </c>
      <c r="J11" s="156">
        <f t="shared" si="1"/>
        <v>-205</v>
      </c>
      <c r="M11" s="134">
        <f>SUM(E11)+(F11*3)*1.03</f>
        <v>-2458.3000000000002</v>
      </c>
    </row>
    <row r="12" spans="1:17" x14ac:dyDescent="0.35">
      <c r="A12" s="150" t="s">
        <v>219</v>
      </c>
      <c r="B12" s="150">
        <v>3</v>
      </c>
      <c r="C12" s="175">
        <f>SUM('[2]2014'!C9:E9)-21</f>
        <v>-29563.57</v>
      </c>
      <c r="D12" s="164">
        <v>-7180</v>
      </c>
      <c r="E12" s="164">
        <v>-5768</v>
      </c>
      <c r="F12" s="164">
        <f>E12/9</f>
        <v>-640.88888888888891</v>
      </c>
      <c r="H12" s="165">
        <f t="shared" si="2"/>
        <v>-215.4</v>
      </c>
      <c r="I12" s="165">
        <v>-7750</v>
      </c>
      <c r="J12" s="167">
        <f t="shared" si="1"/>
        <v>-645.83333333333337</v>
      </c>
      <c r="M12" s="134">
        <f>SUM(E12)+(F12*3)*1.03</f>
        <v>-7748.3466666666664</v>
      </c>
    </row>
    <row r="13" spans="1:17" x14ac:dyDescent="0.35">
      <c r="A13" s="169" t="s">
        <v>81</v>
      </c>
      <c r="B13" s="150"/>
      <c r="C13" s="170">
        <f t="shared" ref="C13:J13" si="3">SUM(C5:C12)</f>
        <v>-2768604.5300000003</v>
      </c>
      <c r="D13" s="141">
        <f t="shared" si="3"/>
        <v>-998180</v>
      </c>
      <c r="E13" s="141">
        <f t="shared" si="3"/>
        <v>-792913</v>
      </c>
      <c r="F13" s="141">
        <f>SUM(F5:F12)</f>
        <v>-88101.444444444423</v>
      </c>
      <c r="G13" s="271"/>
      <c r="H13" s="155">
        <f t="shared" si="3"/>
        <v>-9.2999999999999829</v>
      </c>
      <c r="I13" s="155">
        <f t="shared" si="3"/>
        <v>-1056240</v>
      </c>
      <c r="J13" s="156">
        <f t="shared" si="3"/>
        <v>-88019.999999999971</v>
      </c>
    </row>
    <row r="14" spans="1:17" x14ac:dyDescent="0.35">
      <c r="A14" s="150"/>
      <c r="B14" s="150"/>
      <c r="C14" s="170"/>
      <c r="D14" s="141"/>
      <c r="E14" s="141"/>
      <c r="F14" s="141"/>
      <c r="G14" s="141"/>
      <c r="H14" s="155"/>
      <c r="I14" s="155"/>
      <c r="J14" s="156"/>
    </row>
    <row r="15" spans="1:17" x14ac:dyDescent="0.35">
      <c r="A15" s="150" t="s">
        <v>82</v>
      </c>
      <c r="B15" s="150"/>
      <c r="C15" s="170">
        <f>C41</f>
        <v>367831</v>
      </c>
      <c r="D15" s="141">
        <f t="shared" ref="D15:J15" si="4">D41</f>
        <v>165190.10000000003</v>
      </c>
      <c r="E15" s="141">
        <f t="shared" si="4"/>
        <v>133931</v>
      </c>
      <c r="F15" s="141">
        <f>E15/9</f>
        <v>14881.222222222223</v>
      </c>
      <c r="G15" s="141"/>
      <c r="H15" s="155">
        <f t="shared" si="4"/>
        <v>2220.9029999999998</v>
      </c>
      <c r="I15" s="155">
        <f t="shared" si="4"/>
        <v>156690</v>
      </c>
      <c r="J15" s="156">
        <f t="shared" si="4"/>
        <v>13057.5</v>
      </c>
    </row>
    <row r="16" spans="1:17" x14ac:dyDescent="0.35">
      <c r="A16" s="150" t="s">
        <v>249</v>
      </c>
      <c r="B16" s="150"/>
      <c r="C16" s="170">
        <f>C48</f>
        <v>263133.33</v>
      </c>
      <c r="D16" s="141">
        <f t="shared" ref="D16:J16" si="5">D48</f>
        <v>88489.5</v>
      </c>
      <c r="E16" s="141">
        <f t="shared" si="5"/>
        <v>62795</v>
      </c>
      <c r="F16" s="141">
        <f t="shared" ref="F16:F20" si="6">E16/9</f>
        <v>6977.2222222222226</v>
      </c>
      <c r="G16" s="141"/>
      <c r="H16" s="155">
        <f t="shared" si="5"/>
        <v>5254.0750000000007</v>
      </c>
      <c r="I16" s="155">
        <f t="shared" si="5"/>
        <v>87370</v>
      </c>
      <c r="J16" s="156">
        <f t="shared" si="5"/>
        <v>7280.833333333333</v>
      </c>
      <c r="K16" s="173"/>
    </row>
    <row r="17" spans="1:13" x14ac:dyDescent="0.35">
      <c r="A17" s="150" t="s">
        <v>95</v>
      </c>
      <c r="B17" s="150"/>
      <c r="C17" s="170">
        <f>C65</f>
        <v>560418.51</v>
      </c>
      <c r="D17" s="170">
        <f t="shared" ref="D17:J17" si="7">D65</f>
        <v>158830</v>
      </c>
      <c r="E17" s="170">
        <f t="shared" si="7"/>
        <v>133733</v>
      </c>
      <c r="F17" s="141">
        <f t="shared" si="6"/>
        <v>14859.222222222223</v>
      </c>
      <c r="G17" s="170"/>
      <c r="H17" s="171">
        <f t="shared" si="7"/>
        <v>2592.3000000000002</v>
      </c>
      <c r="I17" s="171">
        <f t="shared" si="7"/>
        <v>220730</v>
      </c>
      <c r="J17" s="172">
        <f t="shared" si="7"/>
        <v>18394.166666666668</v>
      </c>
    </row>
    <row r="18" spans="1:13" x14ac:dyDescent="0.35">
      <c r="A18" s="150" t="s">
        <v>83</v>
      </c>
      <c r="B18" s="150"/>
      <c r="C18" s="170">
        <f>C75</f>
        <v>682491.40999999992</v>
      </c>
      <c r="D18" s="170">
        <f t="shared" ref="D18:J18" si="8">D75</f>
        <v>223080</v>
      </c>
      <c r="E18" s="170">
        <f t="shared" si="8"/>
        <v>187043</v>
      </c>
      <c r="F18" s="141">
        <f t="shared" si="6"/>
        <v>20782.555555555555</v>
      </c>
      <c r="G18" s="170"/>
      <c r="H18" s="171">
        <f t="shared" si="8"/>
        <v>160.79999999999998</v>
      </c>
      <c r="I18" s="171">
        <f t="shared" si="8"/>
        <v>237100</v>
      </c>
      <c r="J18" s="172">
        <f t="shared" si="8"/>
        <v>19758.333333333332</v>
      </c>
      <c r="K18" s="173"/>
    </row>
    <row r="19" spans="1:13" x14ac:dyDescent="0.35">
      <c r="A19" s="150" t="s">
        <v>302</v>
      </c>
      <c r="B19" s="150"/>
      <c r="C19" s="170">
        <f>C81</f>
        <v>241400</v>
      </c>
      <c r="D19" s="170">
        <f t="shared" ref="D19:J19" si="9">D81</f>
        <v>291400</v>
      </c>
      <c r="E19" s="170">
        <f t="shared" si="9"/>
        <v>201167</v>
      </c>
      <c r="F19" s="141">
        <f t="shared" si="6"/>
        <v>22351.888888888891</v>
      </c>
      <c r="G19" s="170"/>
      <c r="H19" s="229">
        <f t="shared" si="9"/>
        <v>0</v>
      </c>
      <c r="I19" s="229">
        <f t="shared" si="9"/>
        <v>241400</v>
      </c>
      <c r="J19" s="234">
        <f t="shared" si="9"/>
        <v>20116.666666666668</v>
      </c>
      <c r="K19" s="173"/>
    </row>
    <row r="20" spans="1:13" x14ac:dyDescent="0.35">
      <c r="A20" s="150" t="s">
        <v>84</v>
      </c>
      <c r="B20" s="150"/>
      <c r="C20" s="170">
        <f>C85</f>
        <v>94513.81</v>
      </c>
      <c r="D20" s="170">
        <f t="shared" ref="D20:J20" si="10">D85</f>
        <v>31500</v>
      </c>
      <c r="E20" s="170">
        <f t="shared" si="10"/>
        <v>23625</v>
      </c>
      <c r="F20" s="141">
        <f t="shared" si="6"/>
        <v>2625</v>
      </c>
      <c r="G20" s="170"/>
      <c r="H20" s="171">
        <f t="shared" si="10"/>
        <v>0</v>
      </c>
      <c r="I20" s="171">
        <f t="shared" si="10"/>
        <v>31500</v>
      </c>
      <c r="J20" s="172">
        <f t="shared" si="10"/>
        <v>2625</v>
      </c>
      <c r="K20" s="178"/>
      <c r="L20" s="208"/>
    </row>
    <row r="21" spans="1:13" x14ac:dyDescent="0.35">
      <c r="A21" s="150" t="s">
        <v>85</v>
      </c>
      <c r="B21" s="150"/>
      <c r="C21" s="175">
        <f>C96</f>
        <v>224039.34</v>
      </c>
      <c r="D21" s="175">
        <f t="shared" ref="D21:J21" si="11">D96</f>
        <v>90600</v>
      </c>
      <c r="E21" s="175">
        <f t="shared" si="11"/>
        <v>43440</v>
      </c>
      <c r="F21" s="175">
        <f>E21/9</f>
        <v>4826.666666666667</v>
      </c>
      <c r="H21" s="176">
        <f t="shared" si="11"/>
        <v>0</v>
      </c>
      <c r="I21" s="176">
        <f t="shared" si="11"/>
        <v>66000</v>
      </c>
      <c r="J21" s="177">
        <f t="shared" si="11"/>
        <v>5500</v>
      </c>
      <c r="K21" s="178"/>
    </row>
    <row r="22" spans="1:13" x14ac:dyDescent="0.35">
      <c r="A22" s="150" t="s">
        <v>86</v>
      </c>
      <c r="B22" s="150"/>
      <c r="C22" s="179">
        <f>SUM(C15:C21)</f>
        <v>2433827.4</v>
      </c>
      <c r="D22" s="179">
        <f t="shared" ref="D22:E22" si="12">SUM(D15:D21)</f>
        <v>1049089.6000000001</v>
      </c>
      <c r="E22" s="179">
        <f t="shared" si="12"/>
        <v>785734</v>
      </c>
      <c r="F22" s="179">
        <f>SUM(F15:F21)</f>
        <v>87303.777777777796</v>
      </c>
      <c r="G22" s="271"/>
      <c r="H22" s="180">
        <f t="shared" ref="H22" si="13">SUM(H16:H21)</f>
        <v>8007.1750000000011</v>
      </c>
      <c r="I22" s="180">
        <f>SUM(I15:I21)</f>
        <v>1040790</v>
      </c>
      <c r="J22" s="181">
        <f>SUM(J15:J21)</f>
        <v>86732.5</v>
      </c>
      <c r="K22" s="178"/>
    </row>
    <row r="23" spans="1:13" x14ac:dyDescent="0.35">
      <c r="A23" s="150"/>
      <c r="B23" s="150"/>
      <c r="C23" s="170"/>
      <c r="D23" s="170"/>
      <c r="E23" s="170"/>
      <c r="F23" s="170"/>
      <c r="H23" s="171"/>
      <c r="I23" s="171"/>
      <c r="J23" s="172"/>
      <c r="K23" s="178"/>
    </row>
    <row r="24" spans="1:13" ht="21.75" thickBot="1" x14ac:dyDescent="0.4">
      <c r="A24" s="182" t="s">
        <v>87</v>
      </c>
      <c r="B24" s="183"/>
      <c r="C24" s="184">
        <f>SUM(-C13-C22)</f>
        <v>334777.13000000035</v>
      </c>
      <c r="D24" s="185">
        <f>SUM(D13+D22)</f>
        <v>50909.600000000093</v>
      </c>
      <c r="E24" s="185">
        <f t="shared" ref="E24:F24" si="14">SUM(E13+E22)</f>
        <v>-7179</v>
      </c>
      <c r="F24" s="185">
        <f t="shared" si="14"/>
        <v>-797.66666666662786</v>
      </c>
      <c r="G24" s="271"/>
      <c r="H24" s="186">
        <f>SUM(-H13-H22)</f>
        <v>-7997.8750000000009</v>
      </c>
      <c r="I24" s="186">
        <f t="shared" ref="I24:J24" si="15">SUM(I13+I22)</f>
        <v>-15450</v>
      </c>
      <c r="J24" s="187">
        <f t="shared" si="15"/>
        <v>-1287.4999999999709</v>
      </c>
      <c r="K24" s="178"/>
    </row>
    <row r="25" spans="1:13" x14ac:dyDescent="0.35">
      <c r="A25" s="169" t="s">
        <v>454</v>
      </c>
      <c r="B25" s="150"/>
      <c r="C25" s="170"/>
      <c r="D25" s="170"/>
      <c r="E25" s="170"/>
      <c r="F25" s="170"/>
      <c r="G25" s="170"/>
      <c r="H25" s="171"/>
      <c r="I25" s="171"/>
      <c r="J25" s="172"/>
      <c r="K25" s="178"/>
    </row>
    <row r="26" spans="1:13" x14ac:dyDescent="0.35">
      <c r="A26" s="150" t="s">
        <v>38</v>
      </c>
      <c r="B26" s="211">
        <v>3</v>
      </c>
      <c r="C26" s="170">
        <f>SUM('[2]2014'!C10:E10)+18</f>
        <v>5563.7</v>
      </c>
      <c r="D26" s="170">
        <v>2500</v>
      </c>
      <c r="E26" s="170">
        <v>337</v>
      </c>
      <c r="F26" s="170">
        <f>E26/9</f>
        <v>37.444444444444443</v>
      </c>
      <c r="G26" s="170"/>
      <c r="H26" s="171">
        <f t="shared" ref="H26:H31" si="16">D26*$N$8</f>
        <v>75</v>
      </c>
      <c r="I26" s="171">
        <v>450</v>
      </c>
      <c r="J26" s="172">
        <f t="shared" si="1"/>
        <v>37.5</v>
      </c>
      <c r="K26" s="178"/>
      <c r="M26" s="134">
        <f t="shared" ref="M26:M40" si="17">SUM(E26)+(F26*3)*1.03</f>
        <v>452.70333333333332</v>
      </c>
    </row>
    <row r="27" spans="1:13" x14ac:dyDescent="0.35">
      <c r="A27" s="150" t="s">
        <v>39</v>
      </c>
      <c r="B27" s="150">
        <v>3</v>
      </c>
      <c r="C27" s="170">
        <f>SUM('[2]2014'!C11:E11)-1</f>
        <v>15234.239999999998</v>
      </c>
      <c r="D27" s="170">
        <v>39800</v>
      </c>
      <c r="E27" s="170">
        <v>27761</v>
      </c>
      <c r="F27" s="170">
        <f t="shared" ref="F27:F39" si="18">E27/9</f>
        <v>3084.5555555555557</v>
      </c>
      <c r="G27" s="170"/>
      <c r="H27" s="171">
        <v>0</v>
      </c>
      <c r="I27" s="171">
        <v>37290</v>
      </c>
      <c r="J27" s="172">
        <f t="shared" si="1"/>
        <v>3107.5</v>
      </c>
      <c r="K27" s="173" t="s">
        <v>449</v>
      </c>
      <c r="M27" s="134">
        <f t="shared" si="17"/>
        <v>37292.276666666672</v>
      </c>
    </row>
    <row r="28" spans="1:13" ht="21.75" thickBot="1" x14ac:dyDescent="0.4">
      <c r="A28" s="150" t="s">
        <v>40</v>
      </c>
      <c r="B28" s="272">
        <v>3</v>
      </c>
      <c r="C28" s="170">
        <f>SUM('[2]2014'!C12:E12)+16</f>
        <v>4280.53</v>
      </c>
      <c r="D28" s="170">
        <v>1470</v>
      </c>
      <c r="E28" s="170">
        <v>1235</v>
      </c>
      <c r="F28" s="170">
        <f t="shared" si="18"/>
        <v>137.22222222222223</v>
      </c>
      <c r="G28" s="170"/>
      <c r="H28" s="171">
        <v>0</v>
      </c>
      <c r="I28" s="171">
        <v>1660</v>
      </c>
      <c r="J28" s="172">
        <f t="shared" si="1"/>
        <v>138.33333333333334</v>
      </c>
      <c r="K28" s="161"/>
      <c r="M28" s="134">
        <f t="shared" si="17"/>
        <v>1659.0166666666667</v>
      </c>
    </row>
    <row r="29" spans="1:13" ht="21.75" thickTop="1" x14ac:dyDescent="0.35">
      <c r="A29" s="150" t="s">
        <v>303</v>
      </c>
      <c r="B29" s="150">
        <v>3</v>
      </c>
      <c r="C29" s="170">
        <f>SUM('[2]2014'!C13:E13)+12</f>
        <v>3378.5</v>
      </c>
      <c r="D29" s="170">
        <v>1260</v>
      </c>
      <c r="E29" s="170">
        <v>1260</v>
      </c>
      <c r="F29" s="170">
        <f t="shared" si="18"/>
        <v>140</v>
      </c>
      <c r="G29" s="170"/>
      <c r="H29" s="171">
        <f t="shared" si="16"/>
        <v>37.799999999999997</v>
      </c>
      <c r="I29" s="171">
        <v>1690</v>
      </c>
      <c r="J29" s="172">
        <f t="shared" si="1"/>
        <v>140.83333333333334</v>
      </c>
      <c r="K29" s="161"/>
      <c r="M29" s="134">
        <f t="shared" si="17"/>
        <v>1692.6</v>
      </c>
    </row>
    <row r="30" spans="1:13" x14ac:dyDescent="0.35">
      <c r="A30" s="150" t="s">
        <v>432</v>
      </c>
      <c r="B30" s="150">
        <v>3</v>
      </c>
      <c r="C30" s="170">
        <f>SUM('[2]2014'!C14:E14)+8</f>
        <v>2475.6</v>
      </c>
      <c r="D30" s="170">
        <v>1240</v>
      </c>
      <c r="E30" s="170">
        <v>1587</v>
      </c>
      <c r="F30" s="170">
        <f t="shared" si="18"/>
        <v>176.33333333333334</v>
      </c>
      <c r="G30" s="170"/>
      <c r="H30" s="171">
        <f t="shared" si="16"/>
        <v>37.199999999999996</v>
      </c>
      <c r="I30" s="171">
        <v>2130</v>
      </c>
      <c r="J30" s="172">
        <f t="shared" si="1"/>
        <v>177.5</v>
      </c>
      <c r="M30" s="134">
        <f t="shared" si="17"/>
        <v>2131.87</v>
      </c>
    </row>
    <row r="31" spans="1:13" x14ac:dyDescent="0.35">
      <c r="A31" s="150" t="s">
        <v>304</v>
      </c>
      <c r="B31" s="150">
        <v>3</v>
      </c>
      <c r="C31" s="170">
        <f>SUM('[2]2014'!C15:E15)+14</f>
        <v>2474.48</v>
      </c>
      <c r="D31" s="170">
        <v>2410.1999999999998</v>
      </c>
      <c r="E31" s="170">
        <v>2886</v>
      </c>
      <c r="F31" s="170">
        <f t="shared" si="18"/>
        <v>320.66666666666669</v>
      </c>
      <c r="G31" s="170"/>
      <c r="H31" s="171">
        <f t="shared" si="16"/>
        <v>72.305999999999997</v>
      </c>
      <c r="I31" s="171">
        <v>1680</v>
      </c>
      <c r="J31" s="172">
        <f t="shared" si="1"/>
        <v>140</v>
      </c>
      <c r="K31" s="173" t="s">
        <v>663</v>
      </c>
      <c r="M31" s="134">
        <f t="shared" si="17"/>
        <v>3876.86</v>
      </c>
    </row>
    <row r="32" spans="1:13" x14ac:dyDescent="0.35">
      <c r="A32" s="150" t="s">
        <v>276</v>
      </c>
      <c r="B32" s="150">
        <v>3</v>
      </c>
      <c r="C32" s="170">
        <f>130158+1285</f>
        <v>131443</v>
      </c>
      <c r="D32" s="170">
        <v>49890</v>
      </c>
      <c r="E32" s="170">
        <v>39613</v>
      </c>
      <c r="F32" s="170">
        <f t="shared" si="18"/>
        <v>4401.4444444444443</v>
      </c>
      <c r="G32" s="170"/>
      <c r="H32" s="171">
        <v>0</v>
      </c>
      <c r="I32" s="171">
        <v>52800</v>
      </c>
      <c r="J32" s="172">
        <f t="shared" si="1"/>
        <v>4400</v>
      </c>
      <c r="K32" s="213" t="s">
        <v>639</v>
      </c>
      <c r="M32" s="134">
        <f>(I13-I8)*(1)*0.05</f>
        <v>-52804</v>
      </c>
    </row>
    <row r="33" spans="1:14" x14ac:dyDescent="0.35">
      <c r="A33" s="150" t="s">
        <v>305</v>
      </c>
      <c r="B33" s="150">
        <v>3</v>
      </c>
      <c r="C33" s="170">
        <f>SUM('[2]2014'!C17:E17)+8</f>
        <v>152795</v>
      </c>
      <c r="D33" s="170">
        <v>50700</v>
      </c>
      <c r="E33" s="170">
        <v>40606</v>
      </c>
      <c r="F33" s="170">
        <f t="shared" si="18"/>
        <v>4511.7777777777774</v>
      </c>
      <c r="G33" s="170"/>
      <c r="H33" s="171">
        <f t="shared" ref="H33:H40" si="19">D33*$N$8</f>
        <v>1521</v>
      </c>
      <c r="I33" s="171">
        <f>54550-14550</f>
        <v>40000</v>
      </c>
      <c r="J33" s="172">
        <f t="shared" si="1"/>
        <v>3333.3333333333335</v>
      </c>
      <c r="K33" s="173" t="s">
        <v>662</v>
      </c>
      <c r="M33" s="134">
        <f t="shared" si="17"/>
        <v>54547.393333333333</v>
      </c>
    </row>
    <row r="34" spans="1:14" x14ac:dyDescent="0.35">
      <c r="A34" s="150" t="s">
        <v>277</v>
      </c>
      <c r="B34" s="150">
        <v>3</v>
      </c>
      <c r="C34" s="170">
        <f>SUM('[2]2014'!C18:E18)+2</f>
        <v>2736.5</v>
      </c>
      <c r="D34" s="170">
        <v>380</v>
      </c>
      <c r="E34" s="170">
        <v>7694</v>
      </c>
      <c r="F34" s="170">
        <f t="shared" si="18"/>
        <v>854.88888888888891</v>
      </c>
      <c r="G34" s="170"/>
      <c r="H34" s="171">
        <f t="shared" si="19"/>
        <v>11.4</v>
      </c>
      <c r="I34" s="171">
        <v>380</v>
      </c>
      <c r="J34" s="172">
        <f t="shared" si="1"/>
        <v>31.666666666666668</v>
      </c>
      <c r="K34" s="134" t="s">
        <v>624</v>
      </c>
      <c r="M34" s="134">
        <f t="shared" si="17"/>
        <v>10335.606666666667</v>
      </c>
    </row>
    <row r="35" spans="1:14" x14ac:dyDescent="0.35">
      <c r="A35" s="150" t="s">
        <v>43</v>
      </c>
      <c r="B35" s="150">
        <v>3</v>
      </c>
      <c r="C35" s="170">
        <f>SUM('[2]2014'!C19:E19)+18</f>
        <v>4631.41</v>
      </c>
      <c r="D35" s="170">
        <v>3170</v>
      </c>
      <c r="E35" s="170">
        <v>1935</v>
      </c>
      <c r="F35" s="170">
        <f t="shared" si="18"/>
        <v>215</v>
      </c>
      <c r="G35" s="170"/>
      <c r="H35" s="171">
        <f t="shared" si="19"/>
        <v>95.1</v>
      </c>
      <c r="I35" s="171">
        <v>2600</v>
      </c>
      <c r="J35" s="172">
        <f t="shared" si="1"/>
        <v>216.66666666666666</v>
      </c>
      <c r="M35" s="134">
        <f t="shared" si="17"/>
        <v>2599.35</v>
      </c>
    </row>
    <row r="36" spans="1:14" x14ac:dyDescent="0.35">
      <c r="A36" s="150" t="s">
        <v>44</v>
      </c>
      <c r="B36" s="150">
        <v>3</v>
      </c>
      <c r="C36" s="170">
        <f>SUM('[2]2014'!C20:E20)+16</f>
        <v>16164.9</v>
      </c>
      <c r="D36" s="170">
        <v>5740</v>
      </c>
      <c r="E36" s="170">
        <v>3493</v>
      </c>
      <c r="F36" s="170">
        <f>E36/9</f>
        <v>388.11111111111109</v>
      </c>
      <c r="G36" s="170"/>
      <c r="H36" s="171">
        <f t="shared" si="19"/>
        <v>172.2</v>
      </c>
      <c r="I36" s="171">
        <v>4690</v>
      </c>
      <c r="J36" s="172">
        <f t="shared" si="1"/>
        <v>390.83333333333331</v>
      </c>
      <c r="K36" s="173"/>
      <c r="M36" s="134">
        <f t="shared" si="17"/>
        <v>4692.2633333333333</v>
      </c>
    </row>
    <row r="37" spans="1:14" x14ac:dyDescent="0.35">
      <c r="A37" s="150" t="s">
        <v>306</v>
      </c>
      <c r="B37" s="150">
        <v>3</v>
      </c>
      <c r="C37" s="170">
        <f>SUM('[2]2014'!C21:E21)-4</f>
        <v>2331.38</v>
      </c>
      <c r="D37" s="170">
        <v>800</v>
      </c>
      <c r="E37" s="170">
        <v>656</v>
      </c>
      <c r="F37" s="170">
        <f t="shared" si="18"/>
        <v>72.888888888888886</v>
      </c>
      <c r="G37" s="170"/>
      <c r="H37" s="171">
        <f t="shared" si="19"/>
        <v>24</v>
      </c>
      <c r="I37" s="171">
        <v>880</v>
      </c>
      <c r="J37" s="172">
        <f t="shared" si="1"/>
        <v>73.333333333333329</v>
      </c>
      <c r="M37" s="134">
        <f t="shared" si="17"/>
        <v>881.22666666666669</v>
      </c>
    </row>
    <row r="38" spans="1:14" x14ac:dyDescent="0.35">
      <c r="A38" s="150" t="s">
        <v>278</v>
      </c>
      <c r="B38" s="150">
        <v>3</v>
      </c>
      <c r="C38" s="170">
        <f>SUM('[2]2014'!C22:E22)-4</f>
        <v>7369.89</v>
      </c>
      <c r="D38" s="170">
        <v>2410.1999999999998</v>
      </c>
      <c r="E38" s="170">
        <v>1624</v>
      </c>
      <c r="F38" s="170">
        <f t="shared" si="18"/>
        <v>180.44444444444446</v>
      </c>
      <c r="G38" s="170"/>
      <c r="H38" s="171">
        <f t="shared" si="19"/>
        <v>72.305999999999997</v>
      </c>
      <c r="I38" s="171">
        <f>2180+2900+1000</f>
        <v>6080</v>
      </c>
      <c r="J38" s="172">
        <f t="shared" si="1"/>
        <v>506.66666666666669</v>
      </c>
      <c r="K38" s="173" t="s">
        <v>652</v>
      </c>
      <c r="M38" s="134">
        <f t="shared" si="17"/>
        <v>2181.5733333333333</v>
      </c>
    </row>
    <row r="39" spans="1:14" x14ac:dyDescent="0.35">
      <c r="A39" s="150" t="s">
        <v>254</v>
      </c>
      <c r="B39" s="150">
        <v>3</v>
      </c>
      <c r="C39" s="170">
        <f>SUM('[2]2014'!C23:E23)+8</f>
        <v>12960.789999999999</v>
      </c>
      <c r="D39" s="170">
        <v>2049.6999999999998</v>
      </c>
      <c r="E39" s="170">
        <v>1037</v>
      </c>
      <c r="F39" s="170">
        <f t="shared" si="18"/>
        <v>115.22222222222223</v>
      </c>
      <c r="G39" s="170"/>
      <c r="H39" s="171">
        <f t="shared" si="19"/>
        <v>61.490999999999993</v>
      </c>
      <c r="I39" s="171">
        <v>1390</v>
      </c>
      <c r="J39" s="172">
        <f t="shared" si="1"/>
        <v>115.83333333333333</v>
      </c>
      <c r="M39" s="134">
        <f t="shared" si="17"/>
        <v>1393.0366666666666</v>
      </c>
    </row>
    <row r="40" spans="1:14" x14ac:dyDescent="0.35">
      <c r="A40" s="150" t="s">
        <v>46</v>
      </c>
      <c r="B40" s="150">
        <v>3</v>
      </c>
      <c r="C40" s="175">
        <f>SUM('[2]2014'!C24:E24)-12</f>
        <v>3991.08</v>
      </c>
      <c r="D40" s="175">
        <v>1370</v>
      </c>
      <c r="E40" s="175">
        <v>2207</v>
      </c>
      <c r="F40" s="175">
        <f>E40/9</f>
        <v>245.22222222222223</v>
      </c>
      <c r="H40" s="176">
        <f t="shared" si="19"/>
        <v>41.1</v>
      </c>
      <c r="I40" s="176">
        <v>2970</v>
      </c>
      <c r="J40" s="177">
        <f t="shared" si="1"/>
        <v>247.5</v>
      </c>
      <c r="M40" s="134">
        <f t="shared" si="17"/>
        <v>2964.7366666666667</v>
      </c>
    </row>
    <row r="41" spans="1:14" x14ac:dyDescent="0.35">
      <c r="A41" s="169" t="s">
        <v>88</v>
      </c>
      <c r="B41" s="150"/>
      <c r="C41" s="170">
        <f t="shared" ref="C41:J41" si="20">SUM(C26:C40)</f>
        <v>367831</v>
      </c>
      <c r="D41" s="170">
        <f t="shared" si="20"/>
        <v>165190.10000000003</v>
      </c>
      <c r="E41" s="170">
        <f t="shared" si="20"/>
        <v>133931</v>
      </c>
      <c r="F41" s="170">
        <f>SUM(F26:F40)</f>
        <v>14881.222222222223</v>
      </c>
      <c r="G41" s="271"/>
      <c r="H41" s="171">
        <f t="shared" si="20"/>
        <v>2220.9029999999998</v>
      </c>
      <c r="I41" s="171">
        <f t="shared" si="20"/>
        <v>156690</v>
      </c>
      <c r="J41" s="172">
        <f t="shared" si="20"/>
        <v>13057.5</v>
      </c>
    </row>
    <row r="42" spans="1:14" x14ac:dyDescent="0.35">
      <c r="A42" s="150"/>
      <c r="B42" s="150"/>
      <c r="C42" s="170"/>
      <c r="D42" s="170"/>
      <c r="E42" s="170"/>
      <c r="F42" s="170"/>
      <c r="G42" s="170"/>
      <c r="H42" s="171"/>
      <c r="I42" s="171"/>
      <c r="J42" s="172"/>
    </row>
    <row r="43" spans="1:14" x14ac:dyDescent="0.35">
      <c r="A43" s="169" t="s">
        <v>455</v>
      </c>
      <c r="B43" s="150"/>
      <c r="C43" s="170"/>
      <c r="D43" s="170"/>
      <c r="E43" s="170"/>
      <c r="F43" s="170"/>
      <c r="G43" s="170"/>
      <c r="H43" s="171"/>
      <c r="I43" s="171"/>
      <c r="J43" s="172"/>
    </row>
    <row r="44" spans="1:14" x14ac:dyDescent="0.35">
      <c r="A44" s="150" t="s">
        <v>227</v>
      </c>
      <c r="B44" s="150">
        <v>3</v>
      </c>
      <c r="C44" s="170">
        <f>SUM('[2]2014'!C25:E25)+51</f>
        <v>30279.82</v>
      </c>
      <c r="D44" s="170">
        <v>9400</v>
      </c>
      <c r="E44" s="170">
        <v>6829</v>
      </c>
      <c r="F44" s="170">
        <f>E44/9</f>
        <v>758.77777777777783</v>
      </c>
      <c r="G44" s="170"/>
      <c r="H44" s="171">
        <f>D44*$N$44</f>
        <v>658.00000000000011</v>
      </c>
      <c r="I44" s="171">
        <v>9460</v>
      </c>
      <c r="J44" s="172">
        <f t="shared" si="1"/>
        <v>788.33333333333337</v>
      </c>
      <c r="K44" s="173" t="s">
        <v>530</v>
      </c>
      <c r="N44" s="188">
        <v>7.0000000000000007E-2</v>
      </c>
    </row>
    <row r="45" spans="1:14" x14ac:dyDescent="0.35">
      <c r="A45" s="150" t="s">
        <v>47</v>
      </c>
      <c r="B45" s="150">
        <v>3</v>
      </c>
      <c r="C45" s="170">
        <f>SUM('[2]2014'!C26:E26)-4</f>
        <v>61771.069999999992</v>
      </c>
      <c r="D45" s="170">
        <v>20569.5</v>
      </c>
      <c r="E45" s="170">
        <v>15376</v>
      </c>
      <c r="F45" s="170">
        <f t="shared" ref="F45:F46" si="21">E45/9</f>
        <v>1708.4444444444443</v>
      </c>
      <c r="G45" s="170"/>
      <c r="H45" s="171">
        <f>D45*$N$45</f>
        <v>1028.4750000000001</v>
      </c>
      <c r="I45" s="171">
        <v>21320</v>
      </c>
      <c r="J45" s="172">
        <f t="shared" si="1"/>
        <v>1776.6666666666667</v>
      </c>
      <c r="K45" s="173" t="s">
        <v>531</v>
      </c>
      <c r="M45" s="134">
        <f>SUM((E45+(F45*3))*1.04)</f>
        <v>21321.386666666665</v>
      </c>
      <c r="N45" s="188">
        <v>0.05</v>
      </c>
    </row>
    <row r="46" spans="1:14" x14ac:dyDescent="0.35">
      <c r="A46" s="150" t="s">
        <v>48</v>
      </c>
      <c r="B46" s="150">
        <v>3</v>
      </c>
      <c r="C46" s="170">
        <f>SUM('[2]2014'!C27:E27)-4</f>
        <v>94767.42</v>
      </c>
      <c r="D46" s="170">
        <v>32080</v>
      </c>
      <c r="E46" s="170">
        <v>21920</v>
      </c>
      <c r="F46" s="170">
        <f t="shared" si="21"/>
        <v>2435.5555555555557</v>
      </c>
      <c r="G46" s="170"/>
      <c r="H46" s="171">
        <f>D46*$N$46</f>
        <v>2245.6000000000004</v>
      </c>
      <c r="I46" s="171">
        <v>30690</v>
      </c>
      <c r="J46" s="172">
        <f t="shared" si="1"/>
        <v>2557.5</v>
      </c>
      <c r="K46" s="173" t="s">
        <v>590</v>
      </c>
      <c r="M46" s="134">
        <f>SUM((E46+(F46*3))*1.05)</f>
        <v>30688.000000000004</v>
      </c>
      <c r="N46" s="188">
        <v>7.0000000000000007E-2</v>
      </c>
    </row>
    <row r="47" spans="1:14" x14ac:dyDescent="0.35">
      <c r="A47" s="150" t="s">
        <v>49</v>
      </c>
      <c r="B47" s="150">
        <v>3</v>
      </c>
      <c r="C47" s="175">
        <f>SUM('[2]2014'!C28:E28)+13</f>
        <v>76315.02</v>
      </c>
      <c r="D47" s="175">
        <v>26440</v>
      </c>
      <c r="E47" s="175">
        <v>18670</v>
      </c>
      <c r="F47" s="175">
        <f>E47/9</f>
        <v>2074.4444444444443</v>
      </c>
      <c r="H47" s="176">
        <f>D47*$N$47</f>
        <v>1322</v>
      </c>
      <c r="I47" s="176">
        <v>25900</v>
      </c>
      <c r="J47" s="177">
        <f t="shared" si="1"/>
        <v>2158.3333333333335</v>
      </c>
      <c r="K47" s="173" t="s">
        <v>531</v>
      </c>
      <c r="M47" s="134">
        <f>SUM((E47+(F47*3))*1.04)</f>
        <v>25889.066666666666</v>
      </c>
      <c r="N47" s="188">
        <v>0.05</v>
      </c>
    </row>
    <row r="48" spans="1:14" x14ac:dyDescent="0.35">
      <c r="A48" s="169" t="s">
        <v>307</v>
      </c>
      <c r="B48" s="150"/>
      <c r="C48" s="170">
        <f>SUM(C44:C47)</f>
        <v>263133.33</v>
      </c>
      <c r="D48" s="170">
        <f>SUM(D44:D47)</f>
        <v>88489.5</v>
      </c>
      <c r="E48" s="170">
        <f>SUM(E44:E47)</f>
        <v>62795</v>
      </c>
      <c r="F48" s="170">
        <f>SUM(F44:F47)</f>
        <v>6977.2222222222217</v>
      </c>
      <c r="G48" s="271"/>
      <c r="H48" s="171">
        <f>SUM(H44:H47)</f>
        <v>5254.0750000000007</v>
      </c>
      <c r="I48" s="171">
        <f>SUM(I44:I47)</f>
        <v>87370</v>
      </c>
      <c r="J48" s="172">
        <f t="shared" si="1"/>
        <v>7280.833333333333</v>
      </c>
      <c r="K48" s="173"/>
    </row>
    <row r="49" spans="1:14" x14ac:dyDescent="0.35">
      <c r="A49" s="150"/>
      <c r="B49" s="150"/>
      <c r="C49" s="170"/>
      <c r="D49" s="170"/>
      <c r="E49" s="170"/>
      <c r="F49" s="170"/>
      <c r="G49" s="170"/>
      <c r="H49" s="171"/>
      <c r="I49" s="171"/>
      <c r="J49" s="172"/>
      <c r="K49" s="173"/>
    </row>
    <row r="50" spans="1:14" x14ac:dyDescent="0.35">
      <c r="A50" s="169" t="s">
        <v>456</v>
      </c>
      <c r="B50" s="150"/>
      <c r="C50" s="170"/>
      <c r="D50" s="170"/>
      <c r="E50" s="170"/>
      <c r="F50" s="170"/>
      <c r="G50" s="170"/>
      <c r="H50" s="171"/>
      <c r="I50" s="171"/>
      <c r="J50" s="172"/>
      <c r="K50" s="173"/>
    </row>
    <row r="51" spans="1:14" x14ac:dyDescent="0.35">
      <c r="A51" s="150" t="s">
        <v>50</v>
      </c>
      <c r="B51" s="150">
        <v>3</v>
      </c>
      <c r="C51" s="170">
        <f>SUM('[2]2014'!C29:E29)-4</f>
        <v>932.34999999999991</v>
      </c>
      <c r="D51" s="170">
        <v>270</v>
      </c>
      <c r="E51" s="170">
        <v>0</v>
      </c>
      <c r="F51" s="170">
        <f>E51/9</f>
        <v>0</v>
      </c>
      <c r="G51" s="170"/>
      <c r="H51" s="171">
        <f t="shared" ref="H51:H64" si="22">D51*$N$8</f>
        <v>8.1</v>
      </c>
      <c r="I51" s="171">
        <v>270</v>
      </c>
      <c r="J51" s="172">
        <f t="shared" si="1"/>
        <v>22.5</v>
      </c>
      <c r="M51" s="134">
        <f>SUM(E51)+(F51*3)*1.03</f>
        <v>0</v>
      </c>
    </row>
    <row r="52" spans="1:14" x14ac:dyDescent="0.35">
      <c r="A52" s="150" t="s">
        <v>51</v>
      </c>
      <c r="B52" s="150">
        <v>3</v>
      </c>
      <c r="C52" s="170">
        <f>SUM('[2]2014'!C30:E30)-6</f>
        <v>79952</v>
      </c>
      <c r="D52" s="170">
        <v>27900</v>
      </c>
      <c r="E52" s="170">
        <v>20416</v>
      </c>
      <c r="F52" s="170">
        <f t="shared" ref="F52:F60" si="23">E52/9</f>
        <v>2268.4444444444443</v>
      </c>
      <c r="G52" s="170"/>
      <c r="H52" s="171">
        <f t="shared" si="22"/>
        <v>837</v>
      </c>
      <c r="I52" s="171">
        <v>27430</v>
      </c>
      <c r="J52" s="172">
        <f t="shared" si="1"/>
        <v>2285.8333333333335</v>
      </c>
      <c r="M52" s="134">
        <f>SUM(E52)+(F52*3)*1.03</f>
        <v>27425.493333333332</v>
      </c>
    </row>
    <row r="53" spans="1:14" x14ac:dyDescent="0.35">
      <c r="A53" s="150" t="s">
        <v>308</v>
      </c>
      <c r="B53" s="150">
        <v>3</v>
      </c>
      <c r="C53" s="170">
        <f>SUM('[2]2014'!C31:E31)+4</f>
        <v>4456</v>
      </c>
      <c r="D53" s="170">
        <v>1730</v>
      </c>
      <c r="E53" s="170">
        <v>625</v>
      </c>
      <c r="F53" s="170">
        <f t="shared" si="23"/>
        <v>69.444444444444443</v>
      </c>
      <c r="G53" s="170"/>
      <c r="H53" s="228">
        <f t="shared" si="22"/>
        <v>51.9</v>
      </c>
      <c r="I53" s="228">
        <v>840</v>
      </c>
      <c r="J53" s="231">
        <f t="shared" si="1"/>
        <v>70</v>
      </c>
      <c r="M53" s="134">
        <f>SUM(E53)+(F53*3)*1.03</f>
        <v>839.58333333333326</v>
      </c>
    </row>
    <row r="54" spans="1:14" x14ac:dyDescent="0.35">
      <c r="A54" s="150" t="s">
        <v>53</v>
      </c>
      <c r="B54" s="150">
        <v>3</v>
      </c>
      <c r="C54" s="170">
        <f>SUM('[2]2014'!C32:E32)-8</f>
        <v>16602.45</v>
      </c>
      <c r="D54" s="170">
        <v>6200</v>
      </c>
      <c r="E54" s="170">
        <v>5222</v>
      </c>
      <c r="F54" s="170">
        <f t="shared" si="23"/>
        <v>580.22222222222217</v>
      </c>
      <c r="G54" s="170"/>
      <c r="H54" s="228">
        <f t="shared" si="22"/>
        <v>186</v>
      </c>
      <c r="I54" s="228">
        <v>7030</v>
      </c>
      <c r="J54" s="231">
        <f t="shared" si="1"/>
        <v>585.83333333333337</v>
      </c>
      <c r="K54" s="173" t="s">
        <v>570</v>
      </c>
      <c r="M54" s="134">
        <f>SUM(E54)+(F54*3)*1.04</f>
        <v>7032.2933333333331</v>
      </c>
    </row>
    <row r="55" spans="1:14" x14ac:dyDescent="0.35">
      <c r="A55" s="150" t="s">
        <v>309</v>
      </c>
      <c r="B55" s="150">
        <v>3</v>
      </c>
      <c r="C55" s="170">
        <f>SUM('[2]2014'!C33:E33)+14</f>
        <v>5475.5300000000007</v>
      </c>
      <c r="D55" s="170">
        <v>1650</v>
      </c>
      <c r="E55" s="170">
        <v>2965</v>
      </c>
      <c r="F55" s="170">
        <f t="shared" si="23"/>
        <v>329.44444444444446</v>
      </c>
      <c r="G55" s="170"/>
      <c r="H55" s="171">
        <f t="shared" si="22"/>
        <v>49.5</v>
      </c>
      <c r="I55" s="171">
        <v>6500</v>
      </c>
      <c r="J55" s="172">
        <f t="shared" si="1"/>
        <v>541.66666666666663</v>
      </c>
      <c r="K55" s="173" t="s">
        <v>610</v>
      </c>
      <c r="M55" s="134">
        <f>SUM(E55)+(F55*3)*1.04</f>
        <v>3992.8666666666668</v>
      </c>
      <c r="N55" s="134">
        <f>SUM(E55)+(F55*3)*1.03</f>
        <v>3982.9833333333336</v>
      </c>
    </row>
    <row r="56" spans="1:14" x14ac:dyDescent="0.35">
      <c r="A56" s="150" t="s">
        <v>310</v>
      </c>
      <c r="B56" s="150">
        <v>3</v>
      </c>
      <c r="C56" s="170">
        <f>SUM('[2]2014'!C34:E34)-7</f>
        <v>17068</v>
      </c>
      <c r="D56" s="170">
        <v>2370</v>
      </c>
      <c r="E56" s="170">
        <v>2806</v>
      </c>
      <c r="F56" s="170">
        <f t="shared" si="23"/>
        <v>311.77777777777777</v>
      </c>
      <c r="G56" s="170"/>
      <c r="H56" s="171">
        <f t="shared" si="22"/>
        <v>71.099999999999994</v>
      </c>
      <c r="I56" s="171">
        <v>3770</v>
      </c>
      <c r="J56" s="172">
        <f t="shared" si="1"/>
        <v>314.16666666666669</v>
      </c>
      <c r="M56" s="134">
        <f t="shared" ref="M56:M64" si="24">SUM(E56)+(F56*3)*1.03</f>
        <v>3769.3933333333334</v>
      </c>
    </row>
    <row r="57" spans="1:14" x14ac:dyDescent="0.35">
      <c r="A57" s="150" t="s">
        <v>311</v>
      </c>
      <c r="B57" s="150">
        <v>3</v>
      </c>
      <c r="C57" s="170">
        <f>SUM('[2]2014'!C35:E35)-10</f>
        <v>29854.35</v>
      </c>
      <c r="D57" s="170">
        <v>13390</v>
      </c>
      <c r="E57" s="170">
        <v>9815</v>
      </c>
      <c r="F57" s="170">
        <f t="shared" si="23"/>
        <v>1090.5555555555557</v>
      </c>
      <c r="G57" s="170"/>
      <c r="H57" s="171">
        <f t="shared" si="22"/>
        <v>401.7</v>
      </c>
      <c r="I57" s="171">
        <v>13180</v>
      </c>
      <c r="J57" s="172">
        <f t="shared" si="1"/>
        <v>1098.3333333333333</v>
      </c>
      <c r="M57" s="134">
        <f t="shared" si="24"/>
        <v>13184.816666666668</v>
      </c>
    </row>
    <row r="58" spans="1:14" x14ac:dyDescent="0.35">
      <c r="A58" s="150" t="s">
        <v>56</v>
      </c>
      <c r="B58" s="150">
        <v>3</v>
      </c>
      <c r="C58" s="170">
        <f>SUM('[2]2014'!C36:E36)+10</f>
        <v>192524.79</v>
      </c>
      <c r="D58" s="170">
        <v>36000</v>
      </c>
      <c r="E58" s="170">
        <v>42508</v>
      </c>
      <c r="F58" s="170">
        <f t="shared" si="23"/>
        <v>4723.1111111111113</v>
      </c>
      <c r="G58" s="170"/>
      <c r="H58" s="171">
        <v>0</v>
      </c>
      <c r="I58" s="171">
        <v>57100</v>
      </c>
      <c r="J58" s="172">
        <f t="shared" si="1"/>
        <v>4758.333333333333</v>
      </c>
      <c r="K58" s="173"/>
      <c r="M58" s="134">
        <f t="shared" si="24"/>
        <v>57102.41333333333</v>
      </c>
    </row>
    <row r="59" spans="1:14" x14ac:dyDescent="0.35">
      <c r="A59" s="150" t="s">
        <v>257</v>
      </c>
      <c r="B59" s="150">
        <v>3</v>
      </c>
      <c r="C59" s="170">
        <f>SUM('[2]2014'!C37:E37)+4</f>
        <v>68505.240000000005</v>
      </c>
      <c r="D59" s="170">
        <v>22600</v>
      </c>
      <c r="E59" s="170">
        <v>19006</v>
      </c>
      <c r="F59" s="170">
        <f t="shared" si="23"/>
        <v>2111.7777777777778</v>
      </c>
      <c r="G59" s="170"/>
      <c r="H59" s="171">
        <f t="shared" si="22"/>
        <v>678</v>
      </c>
      <c r="I59" s="171">
        <v>25530</v>
      </c>
      <c r="J59" s="172">
        <f t="shared" si="1"/>
        <v>2127.5</v>
      </c>
      <c r="K59" s="173"/>
      <c r="M59" s="134">
        <f t="shared" si="24"/>
        <v>25531.393333333333</v>
      </c>
    </row>
    <row r="60" spans="1:14" x14ac:dyDescent="0.35">
      <c r="A60" s="150" t="s">
        <v>55</v>
      </c>
      <c r="B60" s="150">
        <v>3</v>
      </c>
      <c r="C60" s="170">
        <f>SUM('[2]2014'!C38:E38)-4</f>
        <v>106076.56</v>
      </c>
      <c r="D60" s="170">
        <v>36420</v>
      </c>
      <c r="E60" s="170">
        <v>21820</v>
      </c>
      <c r="F60" s="170">
        <f t="shared" si="23"/>
        <v>2424.4444444444443</v>
      </c>
      <c r="G60" s="170"/>
      <c r="H60" s="171">
        <v>0</v>
      </c>
      <c r="I60" s="171">
        <f>29310+21600</f>
        <v>50910</v>
      </c>
      <c r="J60" s="172">
        <f t="shared" si="1"/>
        <v>4242.5</v>
      </c>
      <c r="K60" s="134" t="s">
        <v>664</v>
      </c>
      <c r="M60" s="134">
        <f t="shared" si="24"/>
        <v>29311.533333333333</v>
      </c>
    </row>
    <row r="61" spans="1:14" x14ac:dyDescent="0.35">
      <c r="A61" s="150" t="s">
        <v>526</v>
      </c>
      <c r="B61" s="150"/>
      <c r="C61" s="151"/>
      <c r="D61" s="170">
        <v>0</v>
      </c>
      <c r="E61" s="170">
        <v>0</v>
      </c>
      <c r="F61" s="170">
        <f>E61/9</f>
        <v>0</v>
      </c>
      <c r="G61" s="253"/>
      <c r="H61" s="253"/>
      <c r="I61" s="171">
        <v>3000</v>
      </c>
      <c r="J61" s="172">
        <f>I61/12</f>
        <v>250</v>
      </c>
      <c r="K61" s="173" t="s">
        <v>623</v>
      </c>
      <c r="M61" s="134">
        <f>SUM(E61)+(F61*3)*1.03</f>
        <v>0</v>
      </c>
    </row>
    <row r="62" spans="1:14" x14ac:dyDescent="0.35">
      <c r="A62" s="150" t="s">
        <v>527</v>
      </c>
      <c r="B62" s="150"/>
      <c r="C62" s="151"/>
      <c r="D62" s="170">
        <v>0</v>
      </c>
      <c r="E62" s="170">
        <v>0</v>
      </c>
      <c r="F62" s="170">
        <f>E62/9</f>
        <v>0</v>
      </c>
      <c r="G62" s="253"/>
      <c r="H62" s="253"/>
      <c r="I62" s="171">
        <v>9000</v>
      </c>
      <c r="J62" s="172">
        <f>I62/12</f>
        <v>750</v>
      </c>
      <c r="K62" s="173" t="s">
        <v>623</v>
      </c>
      <c r="M62" s="134">
        <f>SUM(E62)+(F62*3)*1.03</f>
        <v>0</v>
      </c>
    </row>
    <row r="63" spans="1:14" x14ac:dyDescent="0.35">
      <c r="A63" s="150" t="s">
        <v>648</v>
      </c>
      <c r="B63" s="150"/>
      <c r="C63" s="151"/>
      <c r="D63" s="141">
        <v>0</v>
      </c>
      <c r="E63" s="170">
        <v>0</v>
      </c>
      <c r="F63" s="170">
        <f t="shared" ref="F63" si="25">E63/9</f>
        <v>0</v>
      </c>
      <c r="G63" s="170"/>
      <c r="H63" s="171">
        <f t="shared" ref="H63" si="26">D63*$N$8</f>
        <v>0</v>
      </c>
      <c r="I63" s="171">
        <f>4000</f>
        <v>4000</v>
      </c>
      <c r="J63" s="172">
        <f t="shared" ref="J63" si="27">I63/12</f>
        <v>333.33333333333331</v>
      </c>
      <c r="K63" s="173" t="s">
        <v>623</v>
      </c>
      <c r="L63" s="134">
        <f t="shared" ref="L63" si="28">SUM((E63+(F63*3))*1.03)</f>
        <v>0</v>
      </c>
    </row>
    <row r="64" spans="1:14" x14ac:dyDescent="0.35">
      <c r="A64" s="150" t="s">
        <v>57</v>
      </c>
      <c r="B64" s="150">
        <v>3</v>
      </c>
      <c r="C64" s="175">
        <f>SUM('[2]2014'!C39:E39)-2</f>
        <v>38971.240000000005</v>
      </c>
      <c r="D64" s="175">
        <v>10300</v>
      </c>
      <c r="E64" s="175">
        <v>8550</v>
      </c>
      <c r="F64" s="175">
        <f>E64/9</f>
        <v>950</v>
      </c>
      <c r="H64" s="176">
        <f t="shared" si="22"/>
        <v>309</v>
      </c>
      <c r="I64" s="176">
        <v>12170</v>
      </c>
      <c r="J64" s="177">
        <f t="shared" si="1"/>
        <v>1014.1666666666666</v>
      </c>
      <c r="K64" s="134" t="s">
        <v>655</v>
      </c>
      <c r="M64" s="134">
        <f t="shared" si="24"/>
        <v>11485.5</v>
      </c>
    </row>
    <row r="65" spans="1:14" x14ac:dyDescent="0.35">
      <c r="A65" s="169" t="s">
        <v>91</v>
      </c>
      <c r="B65" s="150"/>
      <c r="C65" s="170">
        <f>SUM(C51:C64)</f>
        <v>560418.51</v>
      </c>
      <c r="D65" s="170">
        <f>SUM(D51:D64)</f>
        <v>158830</v>
      </c>
      <c r="E65" s="170">
        <f>SUM(E51:E64)</f>
        <v>133733</v>
      </c>
      <c r="F65" s="170">
        <f>SUM(F51:F64)</f>
        <v>14859.222222222223</v>
      </c>
      <c r="G65" s="271"/>
      <c r="H65" s="171">
        <f>SUM(H51:H64)</f>
        <v>2592.3000000000002</v>
      </c>
      <c r="I65" s="171">
        <f>SUM(I51:I64)</f>
        <v>220730</v>
      </c>
      <c r="J65" s="172">
        <f t="shared" si="1"/>
        <v>18394.166666666668</v>
      </c>
    </row>
    <row r="66" spans="1:14" x14ac:dyDescent="0.35">
      <c r="A66" s="150"/>
      <c r="B66" s="150"/>
      <c r="C66" s="170"/>
      <c r="D66" s="170"/>
      <c r="E66" s="170"/>
      <c r="F66" s="170"/>
      <c r="G66" s="170"/>
      <c r="H66" s="171"/>
      <c r="I66" s="171"/>
      <c r="J66" s="172"/>
    </row>
    <row r="67" spans="1:14" x14ac:dyDescent="0.35">
      <c r="A67" s="169" t="s">
        <v>457</v>
      </c>
      <c r="B67" s="150"/>
      <c r="C67" s="170"/>
      <c r="D67" s="170"/>
      <c r="E67" s="170"/>
      <c r="F67" s="170"/>
      <c r="G67" s="170"/>
      <c r="H67" s="171"/>
      <c r="I67" s="171"/>
      <c r="J67" s="172"/>
    </row>
    <row r="68" spans="1:14" x14ac:dyDescent="0.35">
      <c r="A68" s="150" t="s">
        <v>42</v>
      </c>
      <c r="B68" s="150">
        <v>3</v>
      </c>
      <c r="C68" s="170">
        <f>SUM('[2]2014'!C41:E41)+17</f>
        <v>15075.98</v>
      </c>
      <c r="D68" s="170">
        <v>9900</v>
      </c>
      <c r="E68" s="170">
        <v>8261</v>
      </c>
      <c r="F68" s="170">
        <f>E68/9</f>
        <v>917.88888888888891</v>
      </c>
      <c r="G68" s="170"/>
      <c r="H68" s="171">
        <v>0</v>
      </c>
      <c r="I68" s="171">
        <v>10280</v>
      </c>
      <c r="J68" s="172">
        <f t="shared" si="1"/>
        <v>856.66666666666663</v>
      </c>
      <c r="K68" s="173" t="s">
        <v>427</v>
      </c>
      <c r="M68" s="134">
        <f>SUM(I27+I58+I33)*7.65%</f>
        <v>10280.834999999999</v>
      </c>
      <c r="N68" s="214">
        <v>7.6499999999999999E-2</v>
      </c>
    </row>
    <row r="69" spans="1:14" x14ac:dyDescent="0.35">
      <c r="A69" s="150" t="s">
        <v>312</v>
      </c>
      <c r="B69" s="150">
        <v>3</v>
      </c>
      <c r="C69" s="170">
        <f>SUM('[2]2014'!C42:E42)+23</f>
        <v>115257.5</v>
      </c>
      <c r="D69" s="170">
        <v>30490</v>
      </c>
      <c r="E69" s="170">
        <v>27190</v>
      </c>
      <c r="F69" s="170">
        <f t="shared" ref="F69:F73" si="29">E69/9</f>
        <v>3021.1111111111113</v>
      </c>
      <c r="G69" s="170"/>
      <c r="H69" s="171">
        <v>0</v>
      </c>
      <c r="I69" s="171">
        <v>27460</v>
      </c>
      <c r="J69" s="172">
        <f t="shared" si="1"/>
        <v>2288.3333333333335</v>
      </c>
      <c r="K69" s="173" t="s">
        <v>571</v>
      </c>
      <c r="M69" s="134">
        <f>E69*1.01</f>
        <v>27461.9</v>
      </c>
      <c r="N69" s="188">
        <v>0.05</v>
      </c>
    </row>
    <row r="70" spans="1:14" x14ac:dyDescent="0.35">
      <c r="A70" s="150" t="s">
        <v>59</v>
      </c>
      <c r="B70" s="150">
        <v>3</v>
      </c>
      <c r="C70" s="170">
        <f>SUM('[2]2014'!C43:E43)-25145</f>
        <v>85731.44</v>
      </c>
      <c r="D70" s="170">
        <v>38850</v>
      </c>
      <c r="E70" s="170">
        <v>25069</v>
      </c>
      <c r="F70" s="170">
        <f t="shared" si="29"/>
        <v>2785.4444444444443</v>
      </c>
      <c r="G70" s="170"/>
      <c r="H70" s="171">
        <v>0</v>
      </c>
      <c r="I70" s="171">
        <v>40320</v>
      </c>
      <c r="J70" s="172">
        <f t="shared" si="1"/>
        <v>3360</v>
      </c>
      <c r="K70" s="173" t="s">
        <v>424</v>
      </c>
      <c r="M70" s="134">
        <f>SUM(I27+I58+I33)*0.3</f>
        <v>40317</v>
      </c>
      <c r="N70" s="188">
        <v>0.3</v>
      </c>
    </row>
    <row r="71" spans="1:14" x14ac:dyDescent="0.35">
      <c r="A71" s="150" t="s">
        <v>232</v>
      </c>
      <c r="B71" s="150">
        <v>3</v>
      </c>
      <c r="C71" s="170">
        <f>SUM('[2]2014'!C44:E44)-4</f>
        <v>2825.88</v>
      </c>
      <c r="D71" s="170">
        <v>750</v>
      </c>
      <c r="E71" s="170">
        <v>2532</v>
      </c>
      <c r="F71" s="170">
        <f t="shared" si="29"/>
        <v>281.33333333333331</v>
      </c>
      <c r="G71" s="170"/>
      <c r="H71" s="171">
        <f>D71*$N$8</f>
        <v>22.5</v>
      </c>
      <c r="I71" s="171">
        <v>3480</v>
      </c>
      <c r="J71" s="172">
        <f t="shared" si="1"/>
        <v>290</v>
      </c>
      <c r="K71" s="173" t="s">
        <v>640</v>
      </c>
      <c r="M71" s="134">
        <f>SUM((E71+(F71*3))*1.03)</f>
        <v>3477.28</v>
      </c>
    </row>
    <row r="72" spans="1:14" x14ac:dyDescent="0.35">
      <c r="A72" s="150" t="s">
        <v>61</v>
      </c>
      <c r="B72" s="150">
        <v>3</v>
      </c>
      <c r="C72" s="170">
        <f>SUM('[2]2014'!C46:E46)-4</f>
        <v>49630.159999999996</v>
      </c>
      <c r="D72" s="170">
        <v>4510</v>
      </c>
      <c r="E72" s="170">
        <v>13109</v>
      </c>
      <c r="F72" s="170">
        <f t="shared" si="29"/>
        <v>1456.5555555555557</v>
      </c>
      <c r="G72" s="170"/>
      <c r="H72" s="171">
        <f>D72*$N$8</f>
        <v>135.29999999999998</v>
      </c>
      <c r="I72" s="171">
        <v>4510</v>
      </c>
      <c r="J72" s="172">
        <f t="shared" si="1"/>
        <v>375.83333333333331</v>
      </c>
      <c r="K72" s="173" t="s">
        <v>585</v>
      </c>
      <c r="M72" s="134">
        <f>SUM(E72)+(F72*3)*1.03</f>
        <v>17609.756666666668</v>
      </c>
    </row>
    <row r="73" spans="1:14" x14ac:dyDescent="0.35">
      <c r="A73" s="150" t="s">
        <v>70</v>
      </c>
      <c r="B73" s="150">
        <v>3</v>
      </c>
      <c r="C73" s="170">
        <f>SUM('[2]2014'!C47:E47)-10</f>
        <v>10630.98</v>
      </c>
      <c r="D73" s="170">
        <v>100</v>
      </c>
      <c r="E73" s="170">
        <v>4145</v>
      </c>
      <c r="F73" s="170">
        <f t="shared" si="29"/>
        <v>460.55555555555554</v>
      </c>
      <c r="G73" s="170"/>
      <c r="H73" s="171">
        <f>D73*$N$8</f>
        <v>3</v>
      </c>
      <c r="I73" s="171">
        <v>370</v>
      </c>
      <c r="J73" s="172">
        <f t="shared" si="1"/>
        <v>30.833333333333332</v>
      </c>
      <c r="M73" s="134">
        <f>SUM(E73)+(F73*3)*1.03</f>
        <v>5568.1166666666668</v>
      </c>
    </row>
    <row r="74" spans="1:14" x14ac:dyDescent="0.35">
      <c r="A74" s="150" t="s">
        <v>62</v>
      </c>
      <c r="B74" s="150">
        <v>3</v>
      </c>
      <c r="C74" s="175">
        <f>SUM('[2]2014'!C49:E49)-10</f>
        <v>403339.47</v>
      </c>
      <c r="D74" s="175">
        <v>138480</v>
      </c>
      <c r="E74" s="175">
        <v>106737</v>
      </c>
      <c r="F74" s="175">
        <f>E74/9</f>
        <v>11859.666666666666</v>
      </c>
      <c r="H74" s="176">
        <v>0</v>
      </c>
      <c r="I74" s="176">
        <v>150680</v>
      </c>
      <c r="J74" s="177">
        <f t="shared" si="1"/>
        <v>12556.666666666666</v>
      </c>
      <c r="K74" s="173" t="s">
        <v>262</v>
      </c>
      <c r="N74" s="134">
        <f>SUM(I70)*7.65%</f>
        <v>3084.48</v>
      </c>
    </row>
    <row r="75" spans="1:14" x14ac:dyDescent="0.35">
      <c r="A75" s="169" t="s">
        <v>92</v>
      </c>
      <c r="B75" s="150"/>
      <c r="C75" s="170">
        <f t="shared" ref="C75:J75" si="30">SUM(C68:C74)</f>
        <v>682491.40999999992</v>
      </c>
      <c r="D75" s="170">
        <f t="shared" si="30"/>
        <v>223080</v>
      </c>
      <c r="E75" s="170">
        <f t="shared" si="30"/>
        <v>187043</v>
      </c>
      <c r="F75" s="170">
        <f t="shared" ref="F75:F79" si="31">E75/9</f>
        <v>20782.555555555555</v>
      </c>
      <c r="G75" s="271"/>
      <c r="H75" s="171">
        <f t="shared" si="30"/>
        <v>160.79999999999998</v>
      </c>
      <c r="I75" s="171">
        <f>SUM(I68:I74)</f>
        <v>237100</v>
      </c>
      <c r="J75" s="172">
        <f t="shared" si="30"/>
        <v>19758.333333333332</v>
      </c>
    </row>
    <row r="76" spans="1:14" x14ac:dyDescent="0.35">
      <c r="A76" s="150"/>
      <c r="B76" s="150"/>
      <c r="C76" s="170"/>
      <c r="D76" s="170"/>
      <c r="E76" s="170"/>
      <c r="F76" s="170"/>
      <c r="G76" s="170"/>
      <c r="H76" s="171"/>
      <c r="I76" s="171"/>
      <c r="J76" s="172"/>
      <c r="N76" s="134">
        <f>SUM(I70)*30%</f>
        <v>12096</v>
      </c>
    </row>
    <row r="77" spans="1:14" x14ac:dyDescent="0.35">
      <c r="A77" s="169" t="s">
        <v>459</v>
      </c>
      <c r="B77" s="150"/>
      <c r="C77" s="170"/>
      <c r="D77" s="170"/>
      <c r="E77" s="170"/>
      <c r="F77" s="170"/>
      <c r="G77" s="170"/>
      <c r="H77" s="171"/>
      <c r="I77" s="171"/>
      <c r="J77" s="172"/>
      <c r="N77" s="134">
        <f>SUM((E77+(F77*3))*1.03)</f>
        <v>0</v>
      </c>
    </row>
    <row r="78" spans="1:14" x14ac:dyDescent="0.35">
      <c r="A78" s="150" t="s">
        <v>313</v>
      </c>
      <c r="B78" s="150">
        <v>3</v>
      </c>
      <c r="C78" s="170">
        <v>166750</v>
      </c>
      <c r="D78" s="170">
        <v>155340</v>
      </c>
      <c r="E78" s="170">
        <v>129732</v>
      </c>
      <c r="F78" s="170">
        <f t="shared" si="31"/>
        <v>14414.666666666666</v>
      </c>
      <c r="G78" s="170"/>
      <c r="H78" s="171">
        <v>0</v>
      </c>
      <c r="I78" s="171">
        <v>151158</v>
      </c>
      <c r="J78" s="172">
        <f>I78/12</f>
        <v>12596.5</v>
      </c>
      <c r="K78" s="173" t="s">
        <v>582</v>
      </c>
    </row>
    <row r="79" spans="1:14" x14ac:dyDescent="0.35">
      <c r="A79" s="150" t="s">
        <v>450</v>
      </c>
      <c r="B79" s="150"/>
      <c r="C79" s="170"/>
      <c r="D79" s="170">
        <v>50000</v>
      </c>
      <c r="E79" s="170">
        <v>0</v>
      </c>
      <c r="F79" s="170">
        <f t="shared" si="31"/>
        <v>0</v>
      </c>
      <c r="G79" s="170"/>
      <c r="H79" s="171"/>
      <c r="I79" s="171">
        <v>0</v>
      </c>
      <c r="J79" s="172">
        <f>I79/12</f>
        <v>0</v>
      </c>
      <c r="K79" s="173" t="s">
        <v>630</v>
      </c>
    </row>
    <row r="80" spans="1:14" x14ac:dyDescent="0.35">
      <c r="A80" s="150" t="s">
        <v>295</v>
      </c>
      <c r="B80" s="150">
        <v>3</v>
      </c>
      <c r="C80" s="175">
        <v>74650</v>
      </c>
      <c r="D80" s="175">
        <v>86060</v>
      </c>
      <c r="E80" s="175">
        <v>71435</v>
      </c>
      <c r="F80" s="175">
        <f>E80/9</f>
        <v>7937.2222222222226</v>
      </c>
      <c r="H80" s="176">
        <v>0</v>
      </c>
      <c r="I80" s="176">
        <v>90242</v>
      </c>
      <c r="J80" s="177">
        <f>I80/12</f>
        <v>7520.166666666667</v>
      </c>
      <c r="K80" s="173" t="s">
        <v>582</v>
      </c>
    </row>
    <row r="81" spans="1:11" x14ac:dyDescent="0.35">
      <c r="A81" s="169" t="s">
        <v>314</v>
      </c>
      <c r="B81" s="150"/>
      <c r="C81" s="170">
        <f>SUM(C78:C80)</f>
        <v>241400</v>
      </c>
      <c r="D81" s="170">
        <f t="shared" ref="D81:J81" si="32">SUM(D78:D80)</f>
        <v>291400</v>
      </c>
      <c r="E81" s="170">
        <f t="shared" si="32"/>
        <v>201167</v>
      </c>
      <c r="F81" s="170">
        <f t="shared" si="32"/>
        <v>22351.888888888891</v>
      </c>
      <c r="G81" s="271"/>
      <c r="H81" s="171">
        <f t="shared" si="32"/>
        <v>0</v>
      </c>
      <c r="I81" s="171">
        <f t="shared" si="32"/>
        <v>241400</v>
      </c>
      <c r="J81" s="172">
        <f t="shared" si="32"/>
        <v>20116.666666666668</v>
      </c>
    </row>
    <row r="82" spans="1:11" x14ac:dyDescent="0.35">
      <c r="A82" s="169"/>
      <c r="B82" s="150"/>
      <c r="C82" s="227"/>
      <c r="D82" s="227"/>
      <c r="E82" s="227"/>
      <c r="F82" s="227"/>
      <c r="G82" s="227"/>
      <c r="H82" s="228"/>
      <c r="I82" s="229"/>
      <c r="J82" s="230"/>
    </row>
    <row r="83" spans="1:11" x14ac:dyDescent="0.35">
      <c r="A83" s="169" t="s">
        <v>84</v>
      </c>
      <c r="B83" s="150"/>
      <c r="C83" s="227"/>
      <c r="D83" s="227"/>
      <c r="E83" s="227"/>
      <c r="F83" s="227"/>
      <c r="G83" s="227"/>
      <c r="H83" s="228"/>
      <c r="I83" s="229"/>
      <c r="J83" s="230"/>
    </row>
    <row r="84" spans="1:11" x14ac:dyDescent="0.35">
      <c r="A84" s="150" t="s">
        <v>315</v>
      </c>
      <c r="B84" s="150">
        <v>3</v>
      </c>
      <c r="C84" s="175">
        <f>SUM('[2]2014'!C50:E50)</f>
        <v>94513.81</v>
      </c>
      <c r="D84" s="175">
        <v>31500</v>
      </c>
      <c r="E84" s="175">
        <v>23625</v>
      </c>
      <c r="F84" s="175">
        <f>E84/9</f>
        <v>2625</v>
      </c>
      <c r="H84" s="176">
        <v>0</v>
      </c>
      <c r="I84" s="176">
        <f t="shared" ref="I84" si="33">D84+H84</f>
        <v>31500</v>
      </c>
      <c r="J84" s="177">
        <f t="shared" si="1"/>
        <v>2625</v>
      </c>
    </row>
    <row r="85" spans="1:11" x14ac:dyDescent="0.35">
      <c r="A85" s="169" t="s">
        <v>93</v>
      </c>
      <c r="B85" s="150"/>
      <c r="C85" s="170">
        <f t="shared" ref="C85:J85" si="34">SUM(C84:C84)</f>
        <v>94513.81</v>
      </c>
      <c r="D85" s="170">
        <f t="shared" si="34"/>
        <v>31500</v>
      </c>
      <c r="E85" s="170">
        <f t="shared" si="34"/>
        <v>23625</v>
      </c>
      <c r="F85" s="170">
        <f>SUM(F84)</f>
        <v>2625</v>
      </c>
      <c r="G85" s="271"/>
      <c r="H85" s="171">
        <f t="shared" si="34"/>
        <v>0</v>
      </c>
      <c r="I85" s="171">
        <f>SUM(I84)</f>
        <v>31500</v>
      </c>
      <c r="J85" s="172">
        <f t="shared" si="34"/>
        <v>2625</v>
      </c>
    </row>
    <row r="86" spans="1:11" x14ac:dyDescent="0.35">
      <c r="A86" s="150"/>
      <c r="B86" s="150"/>
      <c r="C86" s="170"/>
      <c r="D86" s="170"/>
      <c r="E86" s="170"/>
      <c r="F86" s="170"/>
      <c r="G86" s="170"/>
      <c r="H86" s="171"/>
      <c r="I86" s="171"/>
      <c r="J86" s="172"/>
    </row>
    <row r="87" spans="1:11" x14ac:dyDescent="0.35">
      <c r="A87" s="169" t="s">
        <v>458</v>
      </c>
      <c r="B87" s="150"/>
      <c r="C87" s="170"/>
      <c r="D87" s="170"/>
      <c r="E87" s="170"/>
      <c r="F87" s="170"/>
      <c r="G87" s="170"/>
      <c r="H87" s="171"/>
      <c r="I87" s="171"/>
      <c r="J87" s="172"/>
    </row>
    <row r="88" spans="1:11" x14ac:dyDescent="0.35">
      <c r="A88" s="150" t="s">
        <v>316</v>
      </c>
      <c r="B88" s="150">
        <v>3</v>
      </c>
      <c r="C88" s="170">
        <f>SUM('[2]2014'!C52:E52)-6</f>
        <v>37370.31</v>
      </c>
      <c r="D88" s="170">
        <v>14000</v>
      </c>
      <c r="E88" s="170">
        <v>0</v>
      </c>
      <c r="F88" s="170">
        <f>E88/9</f>
        <v>0</v>
      </c>
      <c r="G88" s="170"/>
      <c r="H88" s="171">
        <v>0</v>
      </c>
      <c r="I88" s="171">
        <f>14000+8000</f>
        <v>22000</v>
      </c>
      <c r="J88" s="172">
        <f t="shared" si="1"/>
        <v>1833.3333333333333</v>
      </c>
      <c r="K88" s="158" t="s">
        <v>612</v>
      </c>
    </row>
    <row r="89" spans="1:11" hidden="1" x14ac:dyDescent="0.35">
      <c r="A89" s="150" t="s">
        <v>317</v>
      </c>
      <c r="B89" s="150">
        <v>3</v>
      </c>
      <c r="C89" s="170">
        <f>SUM('[2]2014'!C53:E53)</f>
        <v>0</v>
      </c>
      <c r="D89" s="170">
        <v>0</v>
      </c>
      <c r="E89" s="170">
        <f t="shared" ref="E89:E95" si="35">D89/12</f>
        <v>0</v>
      </c>
      <c r="F89" s="170">
        <f t="shared" ref="F89:F93" si="36">E89/9</f>
        <v>0</v>
      </c>
      <c r="G89" s="170"/>
      <c r="H89" s="171">
        <f t="shared" ref="H89:H95" si="37">D89*$N$8</f>
        <v>0</v>
      </c>
      <c r="I89" s="171">
        <v>0</v>
      </c>
      <c r="J89" s="172">
        <f t="shared" si="1"/>
        <v>0</v>
      </c>
    </row>
    <row r="90" spans="1:11" x14ac:dyDescent="0.35">
      <c r="A90" s="150" t="s">
        <v>25</v>
      </c>
      <c r="B90" s="150">
        <v>3</v>
      </c>
      <c r="C90" s="170">
        <f>SUM('[2]2014'!C54:E54)+11</f>
        <v>82311</v>
      </c>
      <c r="D90" s="170">
        <v>43000</v>
      </c>
      <c r="E90" s="170">
        <v>0</v>
      </c>
      <c r="F90" s="170">
        <f t="shared" si="36"/>
        <v>0</v>
      </c>
      <c r="G90" s="170"/>
      <c r="H90" s="171">
        <v>0</v>
      </c>
      <c r="I90" s="171">
        <f>36000+3000+5000</f>
        <v>44000</v>
      </c>
      <c r="J90" s="172">
        <f t="shared" si="1"/>
        <v>3666.6666666666665</v>
      </c>
      <c r="K90" s="158" t="s">
        <v>611</v>
      </c>
    </row>
    <row r="91" spans="1:11" x14ac:dyDescent="0.35">
      <c r="A91" s="150" t="s">
        <v>318</v>
      </c>
      <c r="B91" s="150">
        <v>3</v>
      </c>
      <c r="C91" s="170">
        <f>SUM('[2]2014'!C55:E55)</f>
        <v>7340.2800000000007</v>
      </c>
      <c r="D91" s="170">
        <v>21600</v>
      </c>
      <c r="E91" s="170">
        <v>3155</v>
      </c>
      <c r="F91" s="170">
        <f t="shared" si="36"/>
        <v>350.55555555555554</v>
      </c>
      <c r="G91" s="170"/>
      <c r="H91" s="171">
        <v>0</v>
      </c>
      <c r="I91" s="171">
        <v>0</v>
      </c>
      <c r="J91" s="172">
        <f t="shared" si="1"/>
        <v>0</v>
      </c>
      <c r="K91" s="134" t="s">
        <v>641</v>
      </c>
    </row>
    <row r="92" spans="1:11" x14ac:dyDescent="0.35">
      <c r="A92" s="150" t="s">
        <v>319</v>
      </c>
      <c r="B92" s="150">
        <v>3</v>
      </c>
      <c r="C92" s="170">
        <f>SUM('[2]2014'!C56:E56)-6</f>
        <v>30261.86</v>
      </c>
      <c r="D92" s="170">
        <v>9000</v>
      </c>
      <c r="E92" s="170">
        <v>16602</v>
      </c>
      <c r="F92" s="170">
        <f t="shared" si="36"/>
        <v>1844.6666666666667</v>
      </c>
      <c r="G92" s="170"/>
      <c r="H92" s="171">
        <v>0</v>
      </c>
      <c r="I92" s="171">
        <v>0</v>
      </c>
      <c r="J92" s="172">
        <f t="shared" si="1"/>
        <v>0</v>
      </c>
      <c r="K92" s="134" t="s">
        <v>641</v>
      </c>
    </row>
    <row r="93" spans="1:11" x14ac:dyDescent="0.35">
      <c r="A93" s="150" t="s">
        <v>64</v>
      </c>
      <c r="B93" s="150">
        <v>3</v>
      </c>
      <c r="C93" s="170">
        <f>SUM('[2]2014'!C57:E57)</f>
        <v>0</v>
      </c>
      <c r="D93" s="170">
        <v>3000</v>
      </c>
      <c r="E93" s="170">
        <v>0</v>
      </c>
      <c r="F93" s="170">
        <f t="shared" si="36"/>
        <v>0</v>
      </c>
      <c r="G93" s="170"/>
      <c r="H93" s="171">
        <v>0</v>
      </c>
      <c r="I93" s="171">
        <v>0</v>
      </c>
      <c r="J93" s="172">
        <f t="shared" si="1"/>
        <v>0</v>
      </c>
      <c r="K93" s="134" t="s">
        <v>641</v>
      </c>
    </row>
    <row r="94" spans="1:11" x14ac:dyDescent="0.35">
      <c r="A94" s="150" t="s">
        <v>26</v>
      </c>
      <c r="B94" s="150">
        <v>3</v>
      </c>
      <c r="C94" s="170">
        <f>SUM('[2]2014'!C58:E58)+15</f>
        <v>64717.889999999992</v>
      </c>
      <c r="D94" s="175">
        <v>0</v>
      </c>
      <c r="E94" s="175">
        <v>23683</v>
      </c>
      <c r="F94" s="175">
        <f>E94/9</f>
        <v>2631.4444444444443</v>
      </c>
      <c r="H94" s="171">
        <v>0</v>
      </c>
      <c r="I94" s="176">
        <v>0</v>
      </c>
      <c r="J94" s="177">
        <f t="shared" si="1"/>
        <v>0</v>
      </c>
      <c r="K94" s="134" t="s">
        <v>641</v>
      </c>
    </row>
    <row r="95" spans="1:11" hidden="1" x14ac:dyDescent="0.35">
      <c r="A95" s="150" t="s">
        <v>65</v>
      </c>
      <c r="B95" s="150">
        <v>3</v>
      </c>
      <c r="C95" s="175">
        <f>SUM('[2]2014'!C59:E59)-6</f>
        <v>2038</v>
      </c>
      <c r="D95" s="175">
        <v>0</v>
      </c>
      <c r="E95" s="175">
        <f t="shared" si="35"/>
        <v>0</v>
      </c>
      <c r="F95" s="175">
        <f>E95/9</f>
        <v>0</v>
      </c>
      <c r="G95" s="271"/>
      <c r="H95" s="176">
        <f t="shared" si="37"/>
        <v>0</v>
      </c>
      <c r="I95" s="176">
        <v>0</v>
      </c>
      <c r="J95" s="177">
        <f t="shared" si="1"/>
        <v>0</v>
      </c>
      <c r="K95" s="173"/>
    </row>
    <row r="96" spans="1:11" ht="21.75" thickBot="1" x14ac:dyDescent="0.4">
      <c r="A96" s="169" t="s">
        <v>320</v>
      </c>
      <c r="B96" s="150"/>
      <c r="C96" s="170">
        <f>SUM(C88:C95)</f>
        <v>224039.34</v>
      </c>
      <c r="D96" s="170">
        <f t="shared" ref="D96:J96" si="38">SUM(D88:D95)</f>
        <v>90600</v>
      </c>
      <c r="E96" s="170">
        <f t="shared" si="38"/>
        <v>43440</v>
      </c>
      <c r="F96" s="170">
        <f>SUM(F88:F94)</f>
        <v>4826.6666666666661</v>
      </c>
      <c r="G96" s="170"/>
      <c r="H96" s="191">
        <f t="shared" si="38"/>
        <v>0</v>
      </c>
      <c r="I96" s="191">
        <f>SUM(I88:I95)</f>
        <v>66000</v>
      </c>
      <c r="J96" s="192">
        <f t="shared" si="38"/>
        <v>5500</v>
      </c>
      <c r="K96" s="173"/>
    </row>
  </sheetData>
  <pageMargins left="0.7" right="0.28000000000000003" top="0.85" bottom="0.7" header="0.3" footer="0.3"/>
  <pageSetup scale="41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97"/>
  <sheetViews>
    <sheetView zoomScale="80" zoomScaleNormal="80" workbookViewId="0">
      <pane xSplit="3" ySplit="4" topLeftCell="D68" activePane="bottomRight" state="frozen"/>
      <selection activeCell="I38" sqref="I38"/>
      <selection pane="topRight" activeCell="I38" sqref="I38"/>
      <selection pane="bottomLeft" activeCell="I38" sqref="I38"/>
      <selection pane="bottomRight" activeCell="F95" sqref="F95"/>
    </sheetView>
  </sheetViews>
  <sheetFormatPr defaultRowHeight="19.5" x14ac:dyDescent="0.3"/>
  <cols>
    <col min="1" max="1" width="58.140625" style="273" bestFit="1" customWidth="1"/>
    <col min="2" max="2" width="9.140625" style="273" hidden="1" customWidth="1"/>
    <col min="3" max="3" width="11.140625" style="273" hidden="1" customWidth="1"/>
    <col min="4" max="4" width="17" style="273" bestFit="1" customWidth="1"/>
    <col min="5" max="5" width="15.140625" style="273" bestFit="1" customWidth="1"/>
    <col min="6" max="6" width="13" style="273" bestFit="1" customWidth="1"/>
    <col min="7" max="7" width="3.85546875" style="273" customWidth="1"/>
    <col min="8" max="8" width="0" style="273" hidden="1" customWidth="1"/>
    <col min="9" max="9" width="35" style="273" customWidth="1"/>
    <col min="10" max="10" width="13" style="273" bestFit="1" customWidth="1"/>
    <col min="11" max="11" width="78.140625" style="273" customWidth="1"/>
    <col min="12" max="12" width="3.140625" style="273" customWidth="1"/>
    <col min="13" max="13" width="10.7109375" style="273" bestFit="1" customWidth="1"/>
    <col min="14" max="14" width="9.85546875" style="273" bestFit="1" customWidth="1"/>
    <col min="15" max="15" width="9.28515625" style="273" bestFit="1" customWidth="1"/>
    <col min="16" max="16384" width="9.140625" style="273"/>
  </cols>
  <sheetData>
    <row r="1" spans="1:14" x14ac:dyDescent="0.3">
      <c r="I1" s="274" t="str">
        <f>'Aspen Ridge'!I1</f>
        <v>Projected Annual Budget 2016</v>
      </c>
      <c r="J1" s="275"/>
      <c r="K1" s="276"/>
      <c r="L1" s="276"/>
    </row>
    <row r="2" spans="1:14" x14ac:dyDescent="0.3">
      <c r="I2" s="277" t="s">
        <v>395</v>
      </c>
      <c r="J2" s="278"/>
      <c r="K2" s="279" t="s">
        <v>587</v>
      </c>
      <c r="L2" s="279"/>
    </row>
    <row r="3" spans="1:14" ht="20.25" thickBot="1" x14ac:dyDescent="0.35">
      <c r="A3" s="280" t="s">
        <v>481</v>
      </c>
      <c r="D3" s="280"/>
      <c r="I3" s="281"/>
      <c r="J3" s="278"/>
      <c r="K3" s="282"/>
      <c r="L3" s="282"/>
    </row>
    <row r="4" spans="1:14" s="291" customFormat="1" ht="59.25" thickBot="1" x14ac:dyDescent="0.35">
      <c r="A4" s="283" t="s">
        <v>77</v>
      </c>
      <c r="B4" s="283" t="s">
        <v>78</v>
      </c>
      <c r="C4" s="283" t="s">
        <v>79</v>
      </c>
      <c r="D4" s="284" t="str">
        <f>'Aspen Ridge'!D4</f>
        <v>2015 Annual Budget</v>
      </c>
      <c r="E4" s="284" t="str">
        <f>'Aspen Ridge'!E4</f>
        <v>YTD Actual FY 2015 @ 9/30/15</v>
      </c>
      <c r="F4" s="284" t="str">
        <f>'Aspen Ridge'!F4</f>
        <v>FY 2015 - 9 month Avg</v>
      </c>
      <c r="G4" s="285"/>
      <c r="H4" s="286"/>
      <c r="I4" s="287" t="s">
        <v>430</v>
      </c>
      <c r="J4" s="288" t="s">
        <v>431</v>
      </c>
      <c r="K4" s="289"/>
      <c r="L4" s="290"/>
      <c r="N4" s="292" t="s">
        <v>80</v>
      </c>
    </row>
    <row r="5" spans="1:14" x14ac:dyDescent="0.3">
      <c r="A5" s="293" t="s">
        <v>321</v>
      </c>
      <c r="B5" s="294"/>
      <c r="C5" s="295">
        <f>-752337-302913</f>
        <v>-1055250</v>
      </c>
      <c r="D5" s="285">
        <v>-367850</v>
      </c>
      <c r="E5" s="285">
        <v>-284405</v>
      </c>
      <c r="F5" s="285">
        <f>E5/9</f>
        <v>-31600.555555555555</v>
      </c>
      <c r="G5" s="285"/>
      <c r="H5" s="296">
        <v>0</v>
      </c>
      <c r="I5" s="296">
        <v>-382050</v>
      </c>
      <c r="J5" s="297">
        <f>I5/12</f>
        <v>-31837.5</v>
      </c>
      <c r="K5" s="298"/>
      <c r="L5" s="298"/>
      <c r="M5" s="273">
        <f t="shared" ref="M5:M6" si="0">SUM(E5)+(F5*3)*1.03</f>
        <v>-382050.71666666667</v>
      </c>
      <c r="N5" s="299">
        <v>0.05</v>
      </c>
    </row>
    <row r="6" spans="1:14" x14ac:dyDescent="0.3">
      <c r="A6" s="293" t="s">
        <v>216</v>
      </c>
      <c r="B6" s="293">
        <v>3</v>
      </c>
      <c r="C6" s="295">
        <f>-50843.23-31671</f>
        <v>-82514.23000000001</v>
      </c>
      <c r="D6" s="285">
        <v>-28020</v>
      </c>
      <c r="E6" s="285">
        <v>-20996</v>
      </c>
      <c r="F6" s="285">
        <f t="shared" ref="F6:F12" si="1">E6/9</f>
        <v>-2332.8888888888887</v>
      </c>
      <c r="G6" s="285"/>
      <c r="H6" s="296">
        <v>0</v>
      </c>
      <c r="I6" s="296">
        <v>-28200</v>
      </c>
      <c r="J6" s="297">
        <f>I6/12</f>
        <v>-2350</v>
      </c>
      <c r="M6" s="273">
        <f t="shared" si="0"/>
        <v>-28204.626666666667</v>
      </c>
      <c r="N6" s="280" t="s">
        <v>396</v>
      </c>
    </row>
    <row r="7" spans="1:14" x14ac:dyDescent="0.3">
      <c r="A7" s="293" t="s">
        <v>34</v>
      </c>
      <c r="B7" s="293">
        <v>3</v>
      </c>
      <c r="C7" s="295">
        <f>30404.54-3026</f>
        <v>27378.54</v>
      </c>
      <c r="D7" s="285">
        <v>7360</v>
      </c>
      <c r="E7" s="285">
        <v>3223</v>
      </c>
      <c r="F7" s="285">
        <f t="shared" si="1"/>
        <v>358.11111111111109</v>
      </c>
      <c r="G7" s="285"/>
      <c r="H7" s="296">
        <v>0</v>
      </c>
      <c r="I7" s="296">
        <v>7640</v>
      </c>
      <c r="J7" s="297">
        <f t="shared" ref="J7:J13" si="2">I7/12</f>
        <v>636.66666666666663</v>
      </c>
      <c r="K7" s="273" t="s">
        <v>555</v>
      </c>
      <c r="M7" s="273">
        <f>SUM(I5)*0.02</f>
        <v>-7641</v>
      </c>
      <c r="N7" s="299">
        <v>0.03</v>
      </c>
    </row>
    <row r="8" spans="1:14" x14ac:dyDescent="0.3">
      <c r="A8" s="293" t="s">
        <v>322</v>
      </c>
      <c r="B8" s="293"/>
      <c r="C8" s="295">
        <v>0</v>
      </c>
      <c r="D8" s="285">
        <v>0</v>
      </c>
      <c r="E8" s="285">
        <v>0</v>
      </c>
      <c r="F8" s="285">
        <f t="shared" si="1"/>
        <v>0</v>
      </c>
      <c r="G8" s="285"/>
      <c r="H8" s="296">
        <v>0</v>
      </c>
      <c r="I8" s="296">
        <v>0</v>
      </c>
      <c r="J8" s="297">
        <f t="shared" si="2"/>
        <v>0</v>
      </c>
      <c r="K8" s="279"/>
      <c r="L8" s="279"/>
    </row>
    <row r="9" spans="1:14" x14ac:dyDescent="0.3">
      <c r="A9" s="293" t="s">
        <v>35</v>
      </c>
      <c r="B9" s="293">
        <v>3</v>
      </c>
      <c r="C9" s="295">
        <f>-176.8+1</f>
        <v>-175.8</v>
      </c>
      <c r="D9" s="285">
        <v>-90</v>
      </c>
      <c r="E9" s="285">
        <v>-41</v>
      </c>
      <c r="F9" s="285">
        <f t="shared" si="1"/>
        <v>-4.5555555555555554</v>
      </c>
      <c r="G9" s="285"/>
      <c r="H9" s="296">
        <v>0</v>
      </c>
      <c r="I9" s="296">
        <v>-60</v>
      </c>
      <c r="J9" s="297">
        <f t="shared" si="2"/>
        <v>-5</v>
      </c>
      <c r="M9" s="273">
        <f t="shared" ref="M9:M13" si="3">SUM(E9)+(F9*3)*1.03</f>
        <v>-55.076666666666668</v>
      </c>
    </row>
    <row r="10" spans="1:14" x14ac:dyDescent="0.3">
      <c r="A10" s="293" t="s">
        <v>36</v>
      </c>
      <c r="B10" s="293">
        <v>3</v>
      </c>
      <c r="C10" s="295">
        <f>-11948.93+1843</f>
        <v>-10105.93</v>
      </c>
      <c r="D10" s="285">
        <v>-4560</v>
      </c>
      <c r="E10" s="285">
        <v>-3001</v>
      </c>
      <c r="F10" s="285">
        <f t="shared" si="1"/>
        <v>-333.44444444444446</v>
      </c>
      <c r="G10" s="285"/>
      <c r="H10" s="296">
        <v>0</v>
      </c>
      <c r="I10" s="296">
        <v>-4030</v>
      </c>
      <c r="J10" s="297">
        <f t="shared" si="2"/>
        <v>-335.83333333333331</v>
      </c>
      <c r="M10" s="273">
        <f t="shared" si="3"/>
        <v>-4031.3433333333332</v>
      </c>
    </row>
    <row r="11" spans="1:14" x14ac:dyDescent="0.3">
      <c r="A11" s="293" t="s">
        <v>37</v>
      </c>
      <c r="B11" s="293">
        <v>3</v>
      </c>
      <c r="C11" s="295">
        <f>-2898.33-103</f>
        <v>-3001.33</v>
      </c>
      <c r="D11" s="285">
        <v>-2300</v>
      </c>
      <c r="E11" s="285">
        <v>-1562</v>
      </c>
      <c r="F11" s="285">
        <f t="shared" si="1"/>
        <v>-173.55555555555554</v>
      </c>
      <c r="G11" s="285"/>
      <c r="H11" s="296">
        <v>0</v>
      </c>
      <c r="I11" s="296">
        <v>-2100</v>
      </c>
      <c r="J11" s="297">
        <f t="shared" si="2"/>
        <v>-175</v>
      </c>
      <c r="M11" s="273">
        <f t="shared" si="3"/>
        <v>-2098.2866666666669</v>
      </c>
    </row>
    <row r="12" spans="1:14" x14ac:dyDescent="0.3">
      <c r="A12" s="293" t="s">
        <v>565</v>
      </c>
      <c r="B12" s="293"/>
      <c r="C12" s="295"/>
      <c r="D12" s="285">
        <v>0</v>
      </c>
      <c r="E12" s="285">
        <v>-405</v>
      </c>
      <c r="F12" s="285">
        <f t="shared" si="1"/>
        <v>-45</v>
      </c>
      <c r="G12" s="285"/>
      <c r="H12" s="296"/>
      <c r="I12" s="296">
        <v>0</v>
      </c>
      <c r="J12" s="297">
        <f t="shared" si="2"/>
        <v>0</v>
      </c>
      <c r="M12" s="273">
        <f t="shared" si="3"/>
        <v>-544.04999999999995</v>
      </c>
    </row>
    <row r="13" spans="1:14" x14ac:dyDescent="0.3">
      <c r="A13" s="293" t="s">
        <v>219</v>
      </c>
      <c r="B13" s="293">
        <v>3</v>
      </c>
      <c r="C13" s="300">
        <f>-4986.55+153</f>
        <v>-4833.55</v>
      </c>
      <c r="D13" s="301">
        <v>-3030</v>
      </c>
      <c r="E13" s="301">
        <v>-7900</v>
      </c>
      <c r="F13" s="301">
        <f>E13/9</f>
        <v>-877.77777777777783</v>
      </c>
      <c r="G13" s="285"/>
      <c r="H13" s="302">
        <v>0</v>
      </c>
      <c r="I13" s="302">
        <v>-3030</v>
      </c>
      <c r="J13" s="303">
        <f t="shared" si="2"/>
        <v>-252.5</v>
      </c>
      <c r="K13" s="273" t="s">
        <v>631</v>
      </c>
      <c r="M13" s="273">
        <f t="shared" si="3"/>
        <v>-10612.333333333334</v>
      </c>
    </row>
    <row r="14" spans="1:14" x14ac:dyDescent="0.3">
      <c r="A14" s="304" t="s">
        <v>81</v>
      </c>
      <c r="B14" s="293"/>
      <c r="C14" s="295">
        <f t="shared" ref="C14:J14" si="4">SUM(C5:C13)</f>
        <v>-1128502.3</v>
      </c>
      <c r="D14" s="285">
        <f t="shared" si="4"/>
        <v>-398490</v>
      </c>
      <c r="E14" s="285">
        <f t="shared" si="4"/>
        <v>-315087</v>
      </c>
      <c r="F14" s="285">
        <f>SUM(F5:F13)</f>
        <v>-35009.666666666672</v>
      </c>
      <c r="G14" s="285"/>
      <c r="H14" s="296">
        <f t="shared" si="4"/>
        <v>0</v>
      </c>
      <c r="I14" s="296">
        <f t="shared" si="4"/>
        <v>-411830</v>
      </c>
      <c r="J14" s="297">
        <f t="shared" si="4"/>
        <v>-34319.166666666672</v>
      </c>
    </row>
    <row r="15" spans="1:14" x14ac:dyDescent="0.3">
      <c r="A15" s="293"/>
      <c r="B15" s="293"/>
      <c r="C15" s="295"/>
      <c r="D15" s="285"/>
      <c r="E15" s="285"/>
      <c r="F15" s="285"/>
      <c r="G15" s="285"/>
      <c r="H15" s="296"/>
      <c r="I15" s="296"/>
      <c r="J15" s="297"/>
    </row>
    <row r="16" spans="1:14" x14ac:dyDescent="0.3">
      <c r="A16" s="293" t="s">
        <v>82</v>
      </c>
      <c r="B16" s="293"/>
      <c r="C16" s="295">
        <f>C43</f>
        <v>202698.87999999995</v>
      </c>
      <c r="D16" s="295">
        <f t="shared" ref="D16:E16" si="5">D43</f>
        <v>72110.3</v>
      </c>
      <c r="E16" s="295">
        <f t="shared" si="5"/>
        <v>56671</v>
      </c>
      <c r="F16" s="295">
        <f>E16/9</f>
        <v>6296.7777777777774</v>
      </c>
      <c r="G16" s="295"/>
      <c r="H16" s="305">
        <f>H43</f>
        <v>1464.3089999999995</v>
      </c>
      <c r="I16" s="305">
        <f t="shared" ref="I16:J16" si="6">I43</f>
        <v>77420.096999999994</v>
      </c>
      <c r="J16" s="306">
        <f t="shared" si="6"/>
        <v>6451.6747500000001</v>
      </c>
    </row>
    <row r="17" spans="1:13" x14ac:dyDescent="0.3">
      <c r="A17" s="293" t="s">
        <v>90</v>
      </c>
      <c r="B17" s="293"/>
      <c r="C17" s="295">
        <f>C50</f>
        <v>99915.56</v>
      </c>
      <c r="D17" s="295">
        <f>D50</f>
        <v>34679.699999999997</v>
      </c>
      <c r="E17" s="295">
        <f>E50</f>
        <v>23286</v>
      </c>
      <c r="F17" s="295">
        <f t="shared" ref="F17:F21" si="7">E17/9</f>
        <v>2587.3333333333335</v>
      </c>
      <c r="G17" s="295"/>
      <c r="H17" s="305">
        <f>H50</f>
        <v>2134.3789999999999</v>
      </c>
      <c r="I17" s="305">
        <f t="shared" ref="I17:J17" si="8">I50</f>
        <v>32420</v>
      </c>
      <c r="J17" s="306">
        <f t="shared" si="8"/>
        <v>2701.6666666666665</v>
      </c>
      <c r="K17" s="279"/>
      <c r="L17" s="279"/>
    </row>
    <row r="18" spans="1:13" x14ac:dyDescent="0.3">
      <c r="A18" s="293" t="s">
        <v>250</v>
      </c>
      <c r="B18" s="293"/>
      <c r="C18" s="295">
        <f>C66</f>
        <v>223718.93</v>
      </c>
      <c r="D18" s="295">
        <f t="shared" ref="D18:E18" si="9">D66</f>
        <v>77250</v>
      </c>
      <c r="E18" s="295">
        <f t="shared" si="9"/>
        <v>63341</v>
      </c>
      <c r="F18" s="295">
        <f t="shared" si="7"/>
        <v>7037.8888888888887</v>
      </c>
      <c r="G18" s="295"/>
      <c r="H18" s="305">
        <f>H66</f>
        <v>1737.8999999999999</v>
      </c>
      <c r="I18" s="305">
        <f t="shared" ref="I18:J18" si="10">I66</f>
        <v>91214</v>
      </c>
      <c r="J18" s="306">
        <f t="shared" si="10"/>
        <v>7601.166666666667</v>
      </c>
    </row>
    <row r="19" spans="1:13" x14ac:dyDescent="0.3">
      <c r="A19" s="293" t="s">
        <v>83</v>
      </c>
      <c r="B19" s="293"/>
      <c r="C19" s="295">
        <f>C76</f>
        <v>188905.71000000002</v>
      </c>
      <c r="D19" s="295">
        <f t="shared" ref="D19:E19" si="11">D76</f>
        <v>104960</v>
      </c>
      <c r="E19" s="295">
        <f t="shared" si="11"/>
        <v>80962</v>
      </c>
      <c r="F19" s="295">
        <f t="shared" si="7"/>
        <v>8995.7777777777774</v>
      </c>
      <c r="G19" s="295"/>
      <c r="H19" s="305">
        <f>H76</f>
        <v>1198.8800000000001</v>
      </c>
      <c r="I19" s="305">
        <f t="shared" ref="I19:J19" si="12">I76</f>
        <v>113850</v>
      </c>
      <c r="J19" s="306">
        <f t="shared" si="12"/>
        <v>9487.5</v>
      </c>
      <c r="K19" s="279"/>
      <c r="L19" s="279"/>
    </row>
    <row r="20" spans="1:13" x14ac:dyDescent="0.3">
      <c r="A20" s="293" t="s">
        <v>302</v>
      </c>
      <c r="B20" s="293"/>
      <c r="C20" s="295">
        <f>C81</f>
        <v>260622.29</v>
      </c>
      <c r="D20" s="295">
        <f>D81</f>
        <v>88470</v>
      </c>
      <c r="E20" s="295">
        <f>E81</f>
        <v>73726</v>
      </c>
      <c r="F20" s="295">
        <f t="shared" si="7"/>
        <v>8191.7777777777774</v>
      </c>
      <c r="G20" s="295"/>
      <c r="H20" s="305">
        <f>H81</f>
        <v>0</v>
      </c>
      <c r="I20" s="305">
        <f>I81</f>
        <v>88470</v>
      </c>
      <c r="J20" s="306">
        <f>J81</f>
        <v>7372.5</v>
      </c>
      <c r="K20" s="279"/>
      <c r="L20" s="279"/>
    </row>
    <row r="21" spans="1:13" x14ac:dyDescent="0.3">
      <c r="A21" s="293" t="s">
        <v>84</v>
      </c>
      <c r="B21" s="293"/>
      <c r="C21" s="295">
        <f>C86</f>
        <v>37137</v>
      </c>
      <c r="D21" s="295">
        <f t="shared" ref="D21:E21" si="13">D86</f>
        <v>15000</v>
      </c>
      <c r="E21" s="295">
        <f t="shared" si="13"/>
        <v>11250</v>
      </c>
      <c r="F21" s="295">
        <f t="shared" si="7"/>
        <v>1250</v>
      </c>
      <c r="G21" s="295"/>
      <c r="H21" s="305">
        <f>H86</f>
        <v>0</v>
      </c>
      <c r="I21" s="305">
        <f t="shared" ref="I21:J21" si="14">I86</f>
        <v>15000</v>
      </c>
      <c r="J21" s="306">
        <f t="shared" si="14"/>
        <v>1250</v>
      </c>
      <c r="K21" s="307"/>
      <c r="L21" s="307"/>
      <c r="M21" s="308"/>
    </row>
    <row r="22" spans="1:13" x14ac:dyDescent="0.3">
      <c r="A22" s="293" t="s">
        <v>85</v>
      </c>
      <c r="B22" s="293"/>
      <c r="C22" s="300">
        <f>D96</f>
        <v>55800</v>
      </c>
      <c r="D22" s="300">
        <f>D96</f>
        <v>55800</v>
      </c>
      <c r="E22" s="300">
        <f>E96</f>
        <v>8348</v>
      </c>
      <c r="F22" s="300">
        <f>E22/9</f>
        <v>927.55555555555554</v>
      </c>
      <c r="G22" s="285"/>
      <c r="H22" s="309">
        <f>H96</f>
        <v>240</v>
      </c>
      <c r="I22" s="309">
        <f>I96</f>
        <v>33000</v>
      </c>
      <c r="J22" s="310">
        <f>J96</f>
        <v>5250.0000000000009</v>
      </c>
      <c r="K22" s="307"/>
      <c r="L22" s="307"/>
    </row>
    <row r="23" spans="1:13" x14ac:dyDescent="0.3">
      <c r="A23" s="293" t="s">
        <v>86</v>
      </c>
      <c r="B23" s="293"/>
      <c r="C23" s="311">
        <f>SUM(C16:C22)</f>
        <v>1068798.3699999999</v>
      </c>
      <c r="D23" s="311">
        <f t="shared" ref="D23:F23" si="15">SUM(D16:D22)</f>
        <v>448270</v>
      </c>
      <c r="E23" s="311">
        <f t="shared" si="15"/>
        <v>317584</v>
      </c>
      <c r="F23" s="311">
        <f t="shared" si="15"/>
        <v>35287.111111111109</v>
      </c>
      <c r="G23" s="285"/>
      <c r="H23" s="309">
        <f>SUM(H16:H22)</f>
        <v>6775.4679999999989</v>
      </c>
      <c r="I23" s="312">
        <f t="shared" ref="I23:J23" si="16">SUM(I16:I22)</f>
        <v>451374.09700000001</v>
      </c>
      <c r="J23" s="313">
        <f t="shared" si="16"/>
        <v>40114.508083333334</v>
      </c>
      <c r="K23" s="307"/>
      <c r="L23" s="307"/>
    </row>
    <row r="24" spans="1:13" x14ac:dyDescent="0.3">
      <c r="A24" s="293"/>
      <c r="B24" s="293"/>
      <c r="C24" s="295"/>
      <c r="D24" s="295"/>
      <c r="E24" s="295"/>
      <c r="F24" s="295"/>
      <c r="G24" s="285"/>
      <c r="H24" s="305"/>
      <c r="I24" s="305"/>
      <c r="J24" s="306"/>
      <c r="K24" s="307"/>
      <c r="L24" s="307"/>
    </row>
    <row r="25" spans="1:13" ht="20.25" thickBot="1" x14ac:dyDescent="0.35">
      <c r="A25" s="314" t="s">
        <v>87</v>
      </c>
      <c r="B25" s="315"/>
      <c r="C25" s="316">
        <f>SUM(-C14-C23)</f>
        <v>59703.930000000168</v>
      </c>
      <c r="D25" s="317">
        <f>SUM(D14+D23)</f>
        <v>49780</v>
      </c>
      <c r="E25" s="317">
        <f t="shared" ref="E25:F25" si="17">SUM(E14+E23)</f>
        <v>2497</v>
      </c>
      <c r="F25" s="317">
        <f t="shared" si="17"/>
        <v>277.44444444443798</v>
      </c>
      <c r="G25" s="285"/>
      <c r="H25" s="318">
        <f>SUM(-H14-H23)</f>
        <v>-6775.4679999999989</v>
      </c>
      <c r="I25" s="318">
        <f t="shared" ref="I25:J25" si="18">SUM(I14+I23)</f>
        <v>39544.097000000009</v>
      </c>
      <c r="J25" s="319">
        <f t="shared" si="18"/>
        <v>5795.3414166666626</v>
      </c>
      <c r="K25" s="307"/>
      <c r="L25" s="307"/>
    </row>
    <row r="26" spans="1:13" x14ac:dyDescent="0.3">
      <c r="A26" s="304" t="s">
        <v>454</v>
      </c>
      <c r="B26" s="293"/>
      <c r="C26" s="295"/>
      <c r="D26" s="295"/>
      <c r="E26" s="295"/>
      <c r="F26" s="295"/>
      <c r="G26" s="295"/>
      <c r="H26" s="305"/>
      <c r="I26" s="305"/>
      <c r="J26" s="306"/>
      <c r="K26" s="307"/>
      <c r="L26" s="307"/>
    </row>
    <row r="27" spans="1:13" hidden="1" x14ac:dyDescent="0.3">
      <c r="A27" s="293" t="s">
        <v>38</v>
      </c>
      <c r="B27" s="320">
        <v>3</v>
      </c>
      <c r="C27" s="295">
        <f>SUM('[2]2014'!C10:E10)+18</f>
        <v>5563.7</v>
      </c>
      <c r="D27" s="295">
        <v>0</v>
      </c>
      <c r="E27" s="295">
        <v>0</v>
      </c>
      <c r="F27" s="295">
        <f>E27/9</f>
        <v>0</v>
      </c>
      <c r="G27" s="295"/>
      <c r="H27" s="305">
        <f t="shared" ref="H27" si="19">D27*$O$8</f>
        <v>0</v>
      </c>
      <c r="I27" s="305">
        <v>0</v>
      </c>
      <c r="J27" s="306">
        <f t="shared" ref="J27:J28" si="20">I27/12</f>
        <v>0</v>
      </c>
      <c r="K27" s="307"/>
      <c r="L27" s="307"/>
      <c r="M27" s="273">
        <f t="shared" ref="M27:M42" si="21">SUM(E27)+(F27*3)*1.03</f>
        <v>0</v>
      </c>
    </row>
    <row r="28" spans="1:13" x14ac:dyDescent="0.3">
      <c r="A28" s="293" t="s">
        <v>39</v>
      </c>
      <c r="B28" s="293">
        <v>3</v>
      </c>
      <c r="C28" s="295">
        <f>SUM('[2]2014'!C11:E11)-1</f>
        <v>15234.239999999998</v>
      </c>
      <c r="D28" s="295">
        <v>3000</v>
      </c>
      <c r="E28" s="295">
        <v>3092</v>
      </c>
      <c r="F28" s="295">
        <f t="shared" ref="F28:F41" si="22">E28/9</f>
        <v>343.55555555555554</v>
      </c>
      <c r="G28" s="295"/>
      <c r="H28" s="305">
        <v>0</v>
      </c>
      <c r="I28" s="305">
        <v>4150</v>
      </c>
      <c r="J28" s="306">
        <f t="shared" si="20"/>
        <v>345.83333333333331</v>
      </c>
      <c r="K28" s="279" t="s">
        <v>449</v>
      </c>
      <c r="L28" s="279"/>
      <c r="M28" s="273">
        <f t="shared" si="21"/>
        <v>4153.5866666666661</v>
      </c>
    </row>
    <row r="29" spans="1:13" x14ac:dyDescent="0.3">
      <c r="A29" s="293" t="s">
        <v>40</v>
      </c>
      <c r="B29" s="293">
        <v>3</v>
      </c>
      <c r="C29" s="295">
        <f>1225.75-353</f>
        <v>872.75</v>
      </c>
      <c r="D29" s="295">
        <v>380</v>
      </c>
      <c r="E29" s="295">
        <v>198</v>
      </c>
      <c r="F29" s="295">
        <f t="shared" si="22"/>
        <v>22</v>
      </c>
      <c r="G29" s="295"/>
      <c r="H29" s="305">
        <v>0</v>
      </c>
      <c r="I29" s="305">
        <v>260</v>
      </c>
      <c r="J29" s="306">
        <f t="shared" ref="J29:J95" si="23">I29/12</f>
        <v>21.666666666666668</v>
      </c>
      <c r="M29" s="273">
        <f t="shared" si="21"/>
        <v>265.98</v>
      </c>
    </row>
    <row r="30" spans="1:13" x14ac:dyDescent="0.3">
      <c r="A30" s="293" t="s">
        <v>41</v>
      </c>
      <c r="B30" s="293"/>
      <c r="C30" s="295"/>
      <c r="D30" s="295">
        <v>0</v>
      </c>
      <c r="E30" s="295">
        <v>0</v>
      </c>
      <c r="F30" s="295">
        <f t="shared" si="22"/>
        <v>0</v>
      </c>
      <c r="G30" s="295"/>
      <c r="H30" s="305">
        <v>0</v>
      </c>
      <c r="I30" s="305">
        <v>10</v>
      </c>
      <c r="J30" s="306">
        <f t="shared" ref="J30" si="24">I30/12</f>
        <v>0.83333333333333337</v>
      </c>
      <c r="M30" s="273">
        <f t="shared" si="21"/>
        <v>0</v>
      </c>
    </row>
    <row r="31" spans="1:13" x14ac:dyDescent="0.3">
      <c r="A31" s="293" t="s">
        <v>323</v>
      </c>
      <c r="B31" s="293">
        <v>3</v>
      </c>
      <c r="C31" s="295">
        <f>663+7</f>
        <v>670</v>
      </c>
      <c r="D31" s="295">
        <v>220</v>
      </c>
      <c r="E31" s="295">
        <v>162</v>
      </c>
      <c r="F31" s="295">
        <f t="shared" si="22"/>
        <v>18</v>
      </c>
      <c r="G31" s="295"/>
      <c r="H31" s="305">
        <f>D31*$N$7</f>
        <v>6.6</v>
      </c>
      <c r="I31" s="305">
        <v>220</v>
      </c>
      <c r="J31" s="306">
        <f t="shared" si="23"/>
        <v>18.333333333333332</v>
      </c>
      <c r="M31" s="273">
        <f t="shared" si="21"/>
        <v>217.62</v>
      </c>
    </row>
    <row r="32" spans="1:13" x14ac:dyDescent="0.3">
      <c r="A32" s="293" t="s">
        <v>432</v>
      </c>
      <c r="B32" s="293">
        <v>3</v>
      </c>
      <c r="C32" s="295">
        <f>621.2+49</f>
        <v>670.2</v>
      </c>
      <c r="D32" s="295">
        <v>230</v>
      </c>
      <c r="E32" s="295">
        <v>267</v>
      </c>
      <c r="F32" s="295">
        <f t="shared" si="22"/>
        <v>29.666666666666668</v>
      </c>
      <c r="G32" s="295"/>
      <c r="H32" s="305">
        <f>D32*$N$7</f>
        <v>6.8999999999999995</v>
      </c>
      <c r="I32" s="305">
        <v>360</v>
      </c>
      <c r="J32" s="306">
        <f t="shared" si="23"/>
        <v>30</v>
      </c>
      <c r="M32" s="273">
        <f t="shared" si="21"/>
        <v>358.67</v>
      </c>
    </row>
    <row r="33" spans="1:15" x14ac:dyDescent="0.3">
      <c r="A33" s="293" t="s">
        <v>276</v>
      </c>
      <c r="B33" s="293">
        <v>3</v>
      </c>
      <c r="C33" s="295">
        <f>37342.5+14600</f>
        <v>51942.5</v>
      </c>
      <c r="D33" s="295">
        <v>19920</v>
      </c>
      <c r="E33" s="295">
        <v>15754</v>
      </c>
      <c r="F33" s="295">
        <f t="shared" si="22"/>
        <v>1750.4444444444443</v>
      </c>
      <c r="G33" s="295"/>
      <c r="H33" s="305">
        <v>0</v>
      </c>
      <c r="I33" s="305">
        <v>20590</v>
      </c>
      <c r="J33" s="306">
        <f t="shared" si="23"/>
        <v>1715.8333333333333</v>
      </c>
      <c r="K33" s="321" t="s">
        <v>639</v>
      </c>
      <c r="M33" s="273">
        <f>(I14-I9)*(1)*0.05</f>
        <v>-20588.5</v>
      </c>
    </row>
    <row r="34" spans="1:15" x14ac:dyDescent="0.3">
      <c r="A34" s="293" t="s">
        <v>305</v>
      </c>
      <c r="B34" s="293">
        <v>3</v>
      </c>
      <c r="C34" s="295">
        <f>83135.34+36311</f>
        <v>119446.34</v>
      </c>
      <c r="D34" s="295">
        <v>37820</v>
      </c>
      <c r="E34" s="295">
        <v>29804</v>
      </c>
      <c r="F34" s="295">
        <f t="shared" si="22"/>
        <v>3311.5555555555557</v>
      </c>
      <c r="G34" s="295"/>
      <c r="H34" s="305">
        <f t="shared" ref="H34:H42" si="25">D34*$N$7</f>
        <v>1134.5999999999999</v>
      </c>
      <c r="I34" s="305">
        <v>40040</v>
      </c>
      <c r="J34" s="306">
        <f t="shared" si="23"/>
        <v>3336.6666666666665</v>
      </c>
      <c r="M34" s="273">
        <f t="shared" si="21"/>
        <v>40036.706666666665</v>
      </c>
    </row>
    <row r="35" spans="1:15" x14ac:dyDescent="0.3">
      <c r="A35" s="293" t="s">
        <v>277</v>
      </c>
      <c r="B35" s="293">
        <v>3</v>
      </c>
      <c r="C35" s="295">
        <f>1119.75-101</f>
        <v>1018.75</v>
      </c>
      <c r="D35" s="295">
        <v>339.9</v>
      </c>
      <c r="E35" s="295">
        <v>1640</v>
      </c>
      <c r="F35" s="295">
        <f t="shared" si="22"/>
        <v>182.22222222222223</v>
      </c>
      <c r="G35" s="295"/>
      <c r="H35" s="305">
        <f t="shared" si="25"/>
        <v>10.196999999999999</v>
      </c>
      <c r="I35" s="305">
        <f t="shared" ref="I35:I90" si="26">D35+H35</f>
        <v>350.09699999999998</v>
      </c>
      <c r="J35" s="306">
        <f t="shared" si="23"/>
        <v>29.17475</v>
      </c>
      <c r="K35" s="273" t="s">
        <v>624</v>
      </c>
      <c r="M35" s="273">
        <f t="shared" si="21"/>
        <v>2203.0666666666666</v>
      </c>
    </row>
    <row r="36" spans="1:15" x14ac:dyDescent="0.3">
      <c r="A36" s="293" t="s">
        <v>43</v>
      </c>
      <c r="B36" s="293">
        <v>3</v>
      </c>
      <c r="C36" s="295">
        <f>3187.63-71</f>
        <v>3116.63</v>
      </c>
      <c r="D36" s="295">
        <v>1270</v>
      </c>
      <c r="E36" s="295">
        <v>774</v>
      </c>
      <c r="F36" s="295">
        <f t="shared" si="22"/>
        <v>86</v>
      </c>
      <c r="G36" s="295"/>
      <c r="H36" s="305">
        <f t="shared" si="25"/>
        <v>38.1</v>
      </c>
      <c r="I36" s="305">
        <v>1040</v>
      </c>
      <c r="J36" s="306">
        <f t="shared" si="23"/>
        <v>86.666666666666671</v>
      </c>
      <c r="M36" s="273">
        <f t="shared" si="21"/>
        <v>1039.74</v>
      </c>
    </row>
    <row r="37" spans="1:15" x14ac:dyDescent="0.3">
      <c r="A37" s="293" t="s">
        <v>44</v>
      </c>
      <c r="B37" s="293">
        <v>3</v>
      </c>
      <c r="C37" s="295">
        <f>8089.33+1347</f>
        <v>9436.33</v>
      </c>
      <c r="D37" s="295">
        <v>3440.2</v>
      </c>
      <c r="E37" s="295">
        <v>2688</v>
      </c>
      <c r="F37" s="295">
        <f t="shared" si="22"/>
        <v>298.66666666666669</v>
      </c>
      <c r="G37" s="295"/>
      <c r="H37" s="305">
        <f t="shared" si="25"/>
        <v>103.20599999999999</v>
      </c>
      <c r="I37" s="305">
        <v>3610</v>
      </c>
      <c r="J37" s="306">
        <f t="shared" si="23"/>
        <v>300.83333333333331</v>
      </c>
      <c r="M37" s="273">
        <f t="shared" si="21"/>
        <v>3610.88</v>
      </c>
    </row>
    <row r="38" spans="1:15" x14ac:dyDescent="0.3">
      <c r="A38" s="293" t="s">
        <v>224</v>
      </c>
      <c r="B38" s="293">
        <v>3</v>
      </c>
      <c r="C38" s="295">
        <f>2457.02+105</f>
        <v>2562.02</v>
      </c>
      <c r="D38" s="295">
        <v>840</v>
      </c>
      <c r="E38" s="295">
        <v>715</v>
      </c>
      <c r="F38" s="295">
        <f t="shared" si="22"/>
        <v>79.444444444444443</v>
      </c>
      <c r="G38" s="295"/>
      <c r="H38" s="305">
        <f t="shared" si="25"/>
        <v>25.2</v>
      </c>
      <c r="I38" s="305">
        <v>960</v>
      </c>
      <c r="J38" s="306">
        <f t="shared" si="23"/>
        <v>80</v>
      </c>
      <c r="M38" s="273">
        <f t="shared" si="21"/>
        <v>960.48333333333335</v>
      </c>
    </row>
    <row r="39" spans="1:15" x14ac:dyDescent="0.3">
      <c r="A39" s="293" t="s">
        <v>278</v>
      </c>
      <c r="B39" s="293">
        <v>3</v>
      </c>
      <c r="C39" s="295">
        <f>2984.31-71</f>
        <v>2913.31</v>
      </c>
      <c r="D39" s="295">
        <v>1380.2</v>
      </c>
      <c r="E39" s="295">
        <v>791</v>
      </c>
      <c r="F39" s="295">
        <f t="shared" si="22"/>
        <v>87.888888888888886</v>
      </c>
      <c r="G39" s="295"/>
      <c r="H39" s="305">
        <f t="shared" si="25"/>
        <v>41.405999999999999</v>
      </c>
      <c r="I39" s="305">
        <f>1060+1660</f>
        <v>2720</v>
      </c>
      <c r="J39" s="306">
        <f t="shared" si="23"/>
        <v>226.66666666666666</v>
      </c>
      <c r="K39" s="279" t="s">
        <v>665</v>
      </c>
      <c r="L39" s="279"/>
      <c r="M39" s="273">
        <f t="shared" si="21"/>
        <v>1062.5766666666666</v>
      </c>
    </row>
    <row r="40" spans="1:15" x14ac:dyDescent="0.3">
      <c r="A40" s="293" t="s">
        <v>254</v>
      </c>
      <c r="B40" s="293">
        <v>3</v>
      </c>
      <c r="C40" s="295">
        <f>7577.28-2071</f>
        <v>5506.28</v>
      </c>
      <c r="D40" s="295">
        <v>1820</v>
      </c>
      <c r="E40" s="295">
        <v>385</v>
      </c>
      <c r="F40" s="295">
        <f t="shared" si="22"/>
        <v>42.777777777777779</v>
      </c>
      <c r="G40" s="295"/>
      <c r="H40" s="305">
        <f t="shared" si="25"/>
        <v>54.6</v>
      </c>
      <c r="I40" s="305">
        <v>1860</v>
      </c>
      <c r="J40" s="306">
        <f t="shared" si="23"/>
        <v>155</v>
      </c>
      <c r="K40" s="279" t="s">
        <v>633</v>
      </c>
      <c r="L40" s="279"/>
      <c r="M40" s="273">
        <f t="shared" si="21"/>
        <v>517.18333333333339</v>
      </c>
    </row>
    <row r="41" spans="1:15" x14ac:dyDescent="0.3">
      <c r="A41" s="293" t="s">
        <v>226</v>
      </c>
      <c r="B41" s="293">
        <v>3</v>
      </c>
      <c r="C41" s="295">
        <f>9296.53-6675</f>
        <v>2621.5300000000007</v>
      </c>
      <c r="D41" s="295">
        <v>710</v>
      </c>
      <c r="E41" s="295">
        <v>0</v>
      </c>
      <c r="F41" s="295">
        <f t="shared" si="22"/>
        <v>0</v>
      </c>
      <c r="G41" s="295"/>
      <c r="H41" s="305">
        <f t="shared" si="25"/>
        <v>21.3</v>
      </c>
      <c r="I41" s="305">
        <v>710</v>
      </c>
      <c r="J41" s="306">
        <f t="shared" si="23"/>
        <v>59.166666666666664</v>
      </c>
      <c r="M41" s="273">
        <f t="shared" si="21"/>
        <v>0</v>
      </c>
    </row>
    <row r="42" spans="1:15" x14ac:dyDescent="0.3">
      <c r="A42" s="293" t="s">
        <v>46</v>
      </c>
      <c r="B42" s="293">
        <v>3</v>
      </c>
      <c r="C42" s="300">
        <f>12265.24-10343</f>
        <v>1922.2399999999998</v>
      </c>
      <c r="D42" s="300">
        <v>740</v>
      </c>
      <c r="E42" s="300">
        <v>401</v>
      </c>
      <c r="F42" s="300">
        <f>E42/9</f>
        <v>44.555555555555557</v>
      </c>
      <c r="G42" s="285"/>
      <c r="H42" s="309">
        <f t="shared" si="25"/>
        <v>22.2</v>
      </c>
      <c r="I42" s="309">
        <v>540</v>
      </c>
      <c r="J42" s="310">
        <f t="shared" si="23"/>
        <v>45</v>
      </c>
      <c r="M42" s="273">
        <f t="shared" si="21"/>
        <v>538.67666666666673</v>
      </c>
    </row>
    <row r="43" spans="1:15" x14ac:dyDescent="0.3">
      <c r="A43" s="304" t="s">
        <v>88</v>
      </c>
      <c r="B43" s="293"/>
      <c r="C43" s="295">
        <f t="shared" ref="C43:H43" si="27">SUM(C29:C42)</f>
        <v>202698.87999999995</v>
      </c>
      <c r="D43" s="295">
        <f>SUM(D27:D42)</f>
        <v>72110.3</v>
      </c>
      <c r="E43" s="295">
        <f>SUM(E27:E42)</f>
        <v>56671</v>
      </c>
      <c r="F43" s="295">
        <f>SUM(F27:F42)</f>
        <v>6296.7777777777783</v>
      </c>
      <c r="G43" s="285"/>
      <c r="H43" s="305">
        <f t="shared" si="27"/>
        <v>1464.3089999999995</v>
      </c>
      <c r="I43" s="305">
        <f>SUM(I27:I42)</f>
        <v>77420.096999999994</v>
      </c>
      <c r="J43" s="306">
        <f>SUM(J27:J42)</f>
        <v>6451.6747500000001</v>
      </c>
    </row>
    <row r="44" spans="1:15" x14ac:dyDescent="0.3">
      <c r="A44" s="304"/>
      <c r="B44" s="293"/>
      <c r="C44" s="295"/>
      <c r="D44" s="295"/>
      <c r="E44" s="295"/>
      <c r="F44" s="295"/>
      <c r="G44" s="295"/>
      <c r="H44" s="305"/>
      <c r="I44" s="305"/>
      <c r="J44" s="306"/>
    </row>
    <row r="45" spans="1:15" x14ac:dyDescent="0.3">
      <c r="A45" s="304" t="s">
        <v>455</v>
      </c>
      <c r="B45" s="293"/>
      <c r="C45" s="295"/>
      <c r="D45" s="295"/>
      <c r="E45" s="295"/>
      <c r="F45" s="295"/>
      <c r="G45" s="295"/>
      <c r="H45" s="305"/>
      <c r="I45" s="305"/>
      <c r="J45" s="306"/>
    </row>
    <row r="46" spans="1:15" x14ac:dyDescent="0.3">
      <c r="A46" s="293" t="s">
        <v>227</v>
      </c>
      <c r="B46" s="293">
        <v>3</v>
      </c>
      <c r="C46" s="295">
        <f>17044.18+901</f>
        <v>17945.18</v>
      </c>
      <c r="D46" s="295">
        <v>6270.2</v>
      </c>
      <c r="E46" s="295">
        <v>2958</v>
      </c>
      <c r="F46" s="295">
        <f>E46/9</f>
        <v>328.66666666666669</v>
      </c>
      <c r="G46" s="295"/>
      <c r="H46" s="305">
        <f>D46*$O$46</f>
        <v>438.91400000000004</v>
      </c>
      <c r="I46" s="305">
        <v>4100</v>
      </c>
      <c r="J46" s="306">
        <f t="shared" si="23"/>
        <v>341.66666666666669</v>
      </c>
      <c r="K46" s="279" t="s">
        <v>530</v>
      </c>
      <c r="O46" s="322">
        <v>7.0000000000000007E-2</v>
      </c>
    </row>
    <row r="47" spans="1:15" x14ac:dyDescent="0.3">
      <c r="A47" s="293" t="s">
        <v>47</v>
      </c>
      <c r="B47" s="293">
        <v>3</v>
      </c>
      <c r="C47" s="295">
        <f>14215.24+5213</f>
        <v>19428.239999999998</v>
      </c>
      <c r="D47" s="295">
        <v>7870</v>
      </c>
      <c r="E47" s="295">
        <v>5193</v>
      </c>
      <c r="F47" s="295">
        <f t="shared" ref="F47:F48" si="28">E47/9</f>
        <v>577</v>
      </c>
      <c r="G47" s="295"/>
      <c r="H47" s="305">
        <f>D47*$O$47</f>
        <v>393.5</v>
      </c>
      <c r="I47" s="305">
        <v>7200</v>
      </c>
      <c r="J47" s="306">
        <f t="shared" si="23"/>
        <v>600</v>
      </c>
      <c r="K47" s="279" t="s">
        <v>531</v>
      </c>
      <c r="L47" s="279"/>
      <c r="M47" s="273">
        <f>SUM((E47+(F47*3))*1.04)</f>
        <v>7200.96</v>
      </c>
      <c r="O47" s="322">
        <v>0.05</v>
      </c>
    </row>
    <row r="48" spans="1:15" x14ac:dyDescent="0.3">
      <c r="A48" s="293" t="s">
        <v>48</v>
      </c>
      <c r="B48" s="293">
        <v>3</v>
      </c>
      <c r="C48" s="295">
        <f>33786.76+11213</f>
        <v>44999.76</v>
      </c>
      <c r="D48" s="295">
        <v>13749.5</v>
      </c>
      <c r="E48" s="295">
        <v>10509</v>
      </c>
      <c r="F48" s="295">
        <f t="shared" si="28"/>
        <v>1167.6666666666667</v>
      </c>
      <c r="G48" s="295"/>
      <c r="H48" s="305">
        <f>D48*$O$48</f>
        <v>962.46500000000015</v>
      </c>
      <c r="I48" s="305">
        <v>14710</v>
      </c>
      <c r="J48" s="306">
        <f t="shared" si="23"/>
        <v>1225.8333333333333</v>
      </c>
      <c r="K48" s="279" t="s">
        <v>590</v>
      </c>
      <c r="L48" s="279"/>
      <c r="M48" s="273">
        <f>SUM((E48+(F48*3))*1.05)</f>
        <v>14712.6</v>
      </c>
      <c r="O48" s="322">
        <v>7.0000000000000007E-2</v>
      </c>
    </row>
    <row r="49" spans="1:15" x14ac:dyDescent="0.3">
      <c r="A49" s="293" t="s">
        <v>49</v>
      </c>
      <c r="B49" s="293">
        <v>3</v>
      </c>
      <c r="C49" s="300">
        <f>13469.38+4073</f>
        <v>17542.379999999997</v>
      </c>
      <c r="D49" s="300">
        <v>6790</v>
      </c>
      <c r="E49" s="300">
        <v>4626</v>
      </c>
      <c r="F49" s="300">
        <f>E49/9</f>
        <v>514</v>
      </c>
      <c r="G49" s="285"/>
      <c r="H49" s="309">
        <f>D49*$O$49</f>
        <v>339.5</v>
      </c>
      <c r="I49" s="309">
        <v>6410</v>
      </c>
      <c r="J49" s="310">
        <f t="shared" si="23"/>
        <v>534.16666666666663</v>
      </c>
      <c r="K49" s="279" t="s">
        <v>531</v>
      </c>
      <c r="L49" s="279"/>
      <c r="M49" s="273">
        <f>SUM((E49+(F49*3))*1.04)</f>
        <v>6414.72</v>
      </c>
      <c r="O49" s="322">
        <v>0.05</v>
      </c>
    </row>
    <row r="50" spans="1:15" x14ac:dyDescent="0.3">
      <c r="A50" s="304" t="s">
        <v>307</v>
      </c>
      <c r="B50" s="293"/>
      <c r="C50" s="295">
        <f>SUM(C46:C49)</f>
        <v>99915.56</v>
      </c>
      <c r="D50" s="295">
        <f>SUM(D46:D49)</f>
        <v>34679.699999999997</v>
      </c>
      <c r="E50" s="295">
        <f>SUM(E46:E49)</f>
        <v>23286</v>
      </c>
      <c r="F50" s="295">
        <f>SUM(F46:F49)</f>
        <v>2587.3333333333335</v>
      </c>
      <c r="G50" s="285"/>
      <c r="H50" s="305">
        <f>SUM(H46:H49)</f>
        <v>2134.3789999999999</v>
      </c>
      <c r="I50" s="305">
        <f>SUM(I46:I49)</f>
        <v>32420</v>
      </c>
      <c r="J50" s="306">
        <f t="shared" si="23"/>
        <v>2701.6666666666665</v>
      </c>
      <c r="K50" s="279"/>
      <c r="L50" s="279"/>
    </row>
    <row r="51" spans="1:15" x14ac:dyDescent="0.3">
      <c r="A51" s="304"/>
      <c r="B51" s="293"/>
      <c r="C51" s="295"/>
      <c r="D51" s="295"/>
      <c r="E51" s="295"/>
      <c r="F51" s="295"/>
      <c r="G51" s="295"/>
      <c r="H51" s="305"/>
      <c r="I51" s="305"/>
      <c r="J51" s="306"/>
      <c r="K51" s="279"/>
      <c r="L51" s="279"/>
    </row>
    <row r="52" spans="1:15" x14ac:dyDescent="0.3">
      <c r="A52" s="304" t="s">
        <v>456</v>
      </c>
      <c r="B52" s="293"/>
      <c r="C52" s="295"/>
      <c r="D52" s="295"/>
      <c r="E52" s="295"/>
      <c r="F52" s="295"/>
      <c r="G52" s="295"/>
      <c r="H52" s="305"/>
      <c r="I52" s="305"/>
      <c r="J52" s="306"/>
      <c r="K52" s="279"/>
      <c r="L52" s="279"/>
    </row>
    <row r="53" spans="1:15" x14ac:dyDescent="0.3">
      <c r="A53" s="293" t="s">
        <v>51</v>
      </c>
      <c r="B53" s="293">
        <v>3</v>
      </c>
      <c r="C53" s="295">
        <f>9580.55-1919</f>
        <v>7661.5499999999993</v>
      </c>
      <c r="D53" s="295">
        <v>2630</v>
      </c>
      <c r="E53" s="295">
        <f>127+3776</f>
        <v>3903</v>
      </c>
      <c r="F53" s="295">
        <f>E53/9</f>
        <v>433.66666666666669</v>
      </c>
      <c r="G53" s="295"/>
      <c r="H53" s="305">
        <v>0</v>
      </c>
      <c r="I53" s="305">
        <v>5240</v>
      </c>
      <c r="J53" s="306">
        <f t="shared" si="23"/>
        <v>436.66666666666669</v>
      </c>
      <c r="M53" s="273">
        <f>SUM(E53)+(F53*3)*1.03</f>
        <v>5243.03</v>
      </c>
    </row>
    <row r="54" spans="1:15" x14ac:dyDescent="0.3">
      <c r="A54" s="293" t="s">
        <v>308</v>
      </c>
      <c r="B54" s="293">
        <v>3</v>
      </c>
      <c r="C54" s="295">
        <f>1634.66+667</f>
        <v>2301.66</v>
      </c>
      <c r="D54" s="295">
        <v>720</v>
      </c>
      <c r="E54" s="295">
        <v>513</v>
      </c>
      <c r="F54" s="295">
        <f t="shared" ref="F54:F64" si="29">E54/9</f>
        <v>57</v>
      </c>
      <c r="G54" s="295"/>
      <c r="H54" s="305">
        <f t="shared" ref="H54:H61" si="30">D54*$N$7</f>
        <v>21.599999999999998</v>
      </c>
      <c r="I54" s="305">
        <v>690</v>
      </c>
      <c r="J54" s="306">
        <f t="shared" si="23"/>
        <v>57.5</v>
      </c>
      <c r="M54" s="273">
        <f t="shared" ref="M54:M55" si="31">SUM(E54)+(F54*3)*1.03</f>
        <v>689.13</v>
      </c>
    </row>
    <row r="55" spans="1:15" x14ac:dyDescent="0.3">
      <c r="A55" s="293" t="s">
        <v>53</v>
      </c>
      <c r="B55" s="293">
        <v>3</v>
      </c>
      <c r="C55" s="295">
        <f>8766.97+1689</f>
        <v>10455.969999999999</v>
      </c>
      <c r="D55" s="295">
        <v>3230</v>
      </c>
      <c r="E55" s="295">
        <v>2723</v>
      </c>
      <c r="F55" s="295">
        <f t="shared" si="29"/>
        <v>302.55555555555554</v>
      </c>
      <c r="G55" s="295"/>
      <c r="H55" s="305">
        <f t="shared" si="30"/>
        <v>96.899999999999991</v>
      </c>
      <c r="I55" s="305">
        <v>3660</v>
      </c>
      <c r="J55" s="306">
        <f t="shared" si="23"/>
        <v>305</v>
      </c>
      <c r="K55" s="279" t="s">
        <v>586</v>
      </c>
      <c r="M55" s="273">
        <f t="shared" si="31"/>
        <v>3657.8966666666665</v>
      </c>
      <c r="N55" s="273">
        <f>SUM(E55)+(F55*3)*1.05</f>
        <v>3676.05</v>
      </c>
    </row>
    <row r="56" spans="1:15" x14ac:dyDescent="0.3">
      <c r="A56" s="293" t="s">
        <v>309</v>
      </c>
      <c r="B56" s="293">
        <v>3</v>
      </c>
      <c r="C56" s="295">
        <f>1824+1671</f>
        <v>3495</v>
      </c>
      <c r="D56" s="295">
        <v>1920</v>
      </c>
      <c r="E56" s="295">
        <v>3389</v>
      </c>
      <c r="F56" s="295">
        <f t="shared" si="29"/>
        <v>376.55555555555554</v>
      </c>
      <c r="G56" s="295"/>
      <c r="H56" s="305">
        <f t="shared" si="30"/>
        <v>57.599999999999994</v>
      </c>
      <c r="I56" s="305">
        <v>1920</v>
      </c>
      <c r="J56" s="306">
        <f t="shared" si="23"/>
        <v>160</v>
      </c>
      <c r="M56" s="273">
        <f t="shared" ref="M56:M62" si="32">SUM(E56)+(F56*3)*1.03</f>
        <v>4552.5566666666664</v>
      </c>
    </row>
    <row r="57" spans="1:15" x14ac:dyDescent="0.3">
      <c r="A57" s="293" t="s">
        <v>566</v>
      </c>
      <c r="B57" s="293"/>
      <c r="C57" s="295"/>
      <c r="D57" s="295">
        <v>0</v>
      </c>
      <c r="E57" s="295">
        <v>565</v>
      </c>
      <c r="F57" s="295">
        <f t="shared" si="29"/>
        <v>62.777777777777779</v>
      </c>
      <c r="G57" s="295"/>
      <c r="H57" s="305"/>
      <c r="I57" s="305">
        <v>760</v>
      </c>
      <c r="J57" s="306">
        <f t="shared" si="23"/>
        <v>63.333333333333336</v>
      </c>
      <c r="M57" s="273">
        <f t="shared" si="32"/>
        <v>758.98333333333335</v>
      </c>
    </row>
    <row r="58" spans="1:15" x14ac:dyDescent="0.3">
      <c r="A58" s="293" t="s">
        <v>243</v>
      </c>
      <c r="B58" s="293">
        <v>3</v>
      </c>
      <c r="C58" s="295">
        <v>145</v>
      </c>
      <c r="D58" s="295">
        <v>100</v>
      </c>
      <c r="E58" s="295">
        <v>0</v>
      </c>
      <c r="F58" s="295">
        <f t="shared" si="29"/>
        <v>0</v>
      </c>
      <c r="G58" s="295"/>
      <c r="H58" s="305">
        <v>0</v>
      </c>
      <c r="I58" s="305">
        <v>100</v>
      </c>
      <c r="J58" s="306">
        <f t="shared" si="23"/>
        <v>8.3333333333333339</v>
      </c>
      <c r="M58" s="273">
        <f t="shared" si="32"/>
        <v>0</v>
      </c>
    </row>
    <row r="59" spans="1:15" x14ac:dyDescent="0.3">
      <c r="A59" s="293" t="s">
        <v>311</v>
      </c>
      <c r="B59" s="293">
        <v>3</v>
      </c>
      <c r="C59" s="295">
        <v>3292</v>
      </c>
      <c r="D59" s="295">
        <v>300</v>
      </c>
      <c r="E59" s="295">
        <v>742</v>
      </c>
      <c r="F59" s="295">
        <f t="shared" si="29"/>
        <v>82.444444444444443</v>
      </c>
      <c r="G59" s="295"/>
      <c r="H59" s="305">
        <v>0</v>
      </c>
      <c r="I59" s="305">
        <v>1000</v>
      </c>
      <c r="J59" s="306">
        <f t="shared" si="23"/>
        <v>83.333333333333329</v>
      </c>
      <c r="M59" s="273">
        <f t="shared" si="32"/>
        <v>996.75333333333333</v>
      </c>
    </row>
    <row r="60" spans="1:15" x14ac:dyDescent="0.3">
      <c r="A60" s="293" t="s">
        <v>56</v>
      </c>
      <c r="B60" s="293">
        <v>3</v>
      </c>
      <c r="C60" s="295">
        <f>102033.87+38091</f>
        <v>140124.87</v>
      </c>
      <c r="D60" s="295">
        <v>42200</v>
      </c>
      <c r="E60" s="295">
        <v>33300</v>
      </c>
      <c r="F60" s="295">
        <f t="shared" si="29"/>
        <v>3700</v>
      </c>
      <c r="G60" s="295"/>
      <c r="H60" s="305">
        <f t="shared" si="30"/>
        <v>1266</v>
      </c>
      <c r="I60" s="305">
        <v>44730</v>
      </c>
      <c r="J60" s="306">
        <f t="shared" si="23"/>
        <v>3727.5</v>
      </c>
      <c r="M60" s="273">
        <f t="shared" si="32"/>
        <v>44733</v>
      </c>
    </row>
    <row r="61" spans="1:15" x14ac:dyDescent="0.3">
      <c r="A61" s="293" t="s">
        <v>257</v>
      </c>
      <c r="B61" s="293">
        <v>3</v>
      </c>
      <c r="C61" s="295">
        <f>30628.39-4007</f>
        <v>26621.39</v>
      </c>
      <c r="D61" s="295">
        <v>9860</v>
      </c>
      <c r="E61" s="295">
        <v>3915</v>
      </c>
      <c r="F61" s="295">
        <f t="shared" si="29"/>
        <v>435</v>
      </c>
      <c r="G61" s="295"/>
      <c r="H61" s="305">
        <f t="shared" si="30"/>
        <v>295.8</v>
      </c>
      <c r="I61" s="305">
        <v>5290</v>
      </c>
      <c r="J61" s="306">
        <f t="shared" si="23"/>
        <v>440.83333333333331</v>
      </c>
      <c r="M61" s="273">
        <f t="shared" si="32"/>
        <v>5259.15</v>
      </c>
    </row>
    <row r="62" spans="1:15" x14ac:dyDescent="0.3">
      <c r="A62" s="293" t="s">
        <v>55</v>
      </c>
      <c r="B62" s="293">
        <v>3</v>
      </c>
      <c r="C62" s="295">
        <f>45124.61-26803</f>
        <v>18321.61</v>
      </c>
      <c r="D62" s="295">
        <v>6290</v>
      </c>
      <c r="E62" s="295">
        <v>11293</v>
      </c>
      <c r="F62" s="295">
        <f t="shared" si="29"/>
        <v>1254.7777777777778</v>
      </c>
      <c r="G62" s="295"/>
      <c r="H62" s="305">
        <v>0</v>
      </c>
      <c r="I62" s="305">
        <v>15170</v>
      </c>
      <c r="J62" s="306">
        <f t="shared" si="23"/>
        <v>1264.1666666666667</v>
      </c>
      <c r="M62" s="273">
        <f t="shared" si="32"/>
        <v>15170.263333333334</v>
      </c>
    </row>
    <row r="63" spans="1:15" x14ac:dyDescent="0.3">
      <c r="A63" s="293" t="s">
        <v>526</v>
      </c>
      <c r="B63" s="293"/>
      <c r="C63" s="323"/>
      <c r="D63" s="295">
        <v>0</v>
      </c>
      <c r="E63" s="295">
        <v>0</v>
      </c>
      <c r="F63" s="295">
        <f t="shared" si="29"/>
        <v>0</v>
      </c>
      <c r="G63" s="324"/>
      <c r="H63" s="324"/>
      <c r="I63" s="305">
        <v>2800</v>
      </c>
      <c r="J63" s="306">
        <f t="shared" si="23"/>
        <v>233.33333333333334</v>
      </c>
      <c r="K63" s="279" t="s">
        <v>623</v>
      </c>
      <c r="L63" s="279"/>
      <c r="M63" s="273">
        <f t="shared" ref="M63:M65" si="33">SUM(E63)+(F63*3)*1.03</f>
        <v>0</v>
      </c>
    </row>
    <row r="64" spans="1:15" x14ac:dyDescent="0.3">
      <c r="A64" s="293" t="s">
        <v>527</v>
      </c>
      <c r="B64" s="293"/>
      <c r="C64" s="323"/>
      <c r="D64" s="295">
        <v>0</v>
      </c>
      <c r="E64" s="295">
        <v>0</v>
      </c>
      <c r="F64" s="295">
        <f t="shared" si="29"/>
        <v>0</v>
      </c>
      <c r="G64" s="324"/>
      <c r="H64" s="324"/>
      <c r="I64" s="305">
        <v>3000</v>
      </c>
      <c r="J64" s="306">
        <f t="shared" si="23"/>
        <v>250</v>
      </c>
      <c r="K64" s="279" t="s">
        <v>623</v>
      </c>
      <c r="L64" s="279"/>
      <c r="M64" s="273">
        <f t="shared" si="33"/>
        <v>0</v>
      </c>
    </row>
    <row r="65" spans="1:15" x14ac:dyDescent="0.3">
      <c r="A65" s="293" t="s">
        <v>57</v>
      </c>
      <c r="B65" s="293">
        <v>3</v>
      </c>
      <c r="C65" s="300">
        <f>16962.88-5663</f>
        <v>11299.880000000001</v>
      </c>
      <c r="D65" s="300">
        <v>10000</v>
      </c>
      <c r="E65" s="300">
        <v>2998</v>
      </c>
      <c r="F65" s="300">
        <f>E65/9</f>
        <v>333.11111111111109</v>
      </c>
      <c r="G65" s="285"/>
      <c r="H65" s="309">
        <v>0</v>
      </c>
      <c r="I65" s="309">
        <v>6854</v>
      </c>
      <c r="J65" s="310">
        <f t="shared" si="23"/>
        <v>571.16666666666663</v>
      </c>
      <c r="K65" s="273" t="s">
        <v>655</v>
      </c>
      <c r="M65" s="273">
        <f t="shared" si="33"/>
        <v>4027.3133333333335</v>
      </c>
    </row>
    <row r="66" spans="1:15" x14ac:dyDescent="0.3">
      <c r="A66" s="304" t="s">
        <v>91</v>
      </c>
      <c r="B66" s="293"/>
      <c r="C66" s="295">
        <f>SUM(C53:C65)</f>
        <v>223718.93</v>
      </c>
      <c r="D66" s="295">
        <f>SUM(D53:D65)</f>
        <v>77250</v>
      </c>
      <c r="E66" s="295">
        <f>SUM(E53:E65)</f>
        <v>63341</v>
      </c>
      <c r="F66" s="295">
        <f>SUM(F53:F65)</f>
        <v>7037.8888888888887</v>
      </c>
      <c r="G66" s="285"/>
      <c r="H66" s="305">
        <f>SUM(H53:H65)</f>
        <v>1737.8999999999999</v>
      </c>
      <c r="I66" s="305">
        <f>SUM(I53:I65)</f>
        <v>91214</v>
      </c>
      <c r="J66" s="306">
        <f t="shared" si="23"/>
        <v>7601.166666666667</v>
      </c>
    </row>
    <row r="67" spans="1:15" x14ac:dyDescent="0.3">
      <c r="A67" s="304"/>
      <c r="B67" s="293"/>
      <c r="C67" s="295"/>
      <c r="D67" s="295"/>
      <c r="E67" s="295"/>
      <c r="F67" s="295"/>
      <c r="G67" s="295"/>
      <c r="H67" s="305"/>
      <c r="I67" s="305"/>
      <c r="J67" s="306"/>
    </row>
    <row r="68" spans="1:15" x14ac:dyDescent="0.3">
      <c r="A68" s="304" t="s">
        <v>457</v>
      </c>
      <c r="B68" s="293"/>
      <c r="C68" s="295"/>
      <c r="D68" s="295"/>
      <c r="E68" s="295"/>
      <c r="F68" s="295"/>
      <c r="G68" s="295"/>
      <c r="H68" s="305"/>
      <c r="I68" s="305"/>
      <c r="J68" s="306"/>
    </row>
    <row r="69" spans="1:15" x14ac:dyDescent="0.3">
      <c r="A69" s="293" t="s">
        <v>42</v>
      </c>
      <c r="B69" s="293">
        <v>3</v>
      </c>
      <c r="C69" s="295">
        <f>19536.79+389</f>
        <v>19925.79</v>
      </c>
      <c r="D69" s="295">
        <v>6120</v>
      </c>
      <c r="E69" s="295">
        <v>4925</v>
      </c>
      <c r="F69" s="295">
        <f>E69/9</f>
        <v>547.22222222222217</v>
      </c>
      <c r="G69" s="295"/>
      <c r="H69" s="305">
        <f>D69*$O$69</f>
        <v>468.18</v>
      </c>
      <c r="I69" s="305">
        <v>6800</v>
      </c>
      <c r="J69" s="306">
        <f t="shared" si="23"/>
        <v>566.66666666666663</v>
      </c>
      <c r="K69" s="279" t="s">
        <v>427</v>
      </c>
      <c r="L69" s="279"/>
      <c r="M69" s="273">
        <f>SUM(I28+I60+I34)*7.65%</f>
        <v>6802.38</v>
      </c>
      <c r="O69" s="325">
        <v>7.6499999999999999E-2</v>
      </c>
    </row>
    <row r="70" spans="1:15" x14ac:dyDescent="0.3">
      <c r="A70" s="293" t="s">
        <v>324</v>
      </c>
      <c r="B70" s="293">
        <v>3</v>
      </c>
      <c r="C70" s="295">
        <f>88286.6-42973</f>
        <v>45313.600000000006</v>
      </c>
      <c r="D70" s="295">
        <v>14350</v>
      </c>
      <c r="E70" s="295">
        <v>12416</v>
      </c>
      <c r="F70" s="295">
        <f t="shared" ref="F70:F72" si="34">E70/9</f>
        <v>1379.5555555555557</v>
      </c>
      <c r="G70" s="295"/>
      <c r="H70" s="305">
        <f>D70*$O$70</f>
        <v>717.5</v>
      </c>
      <c r="I70" s="305">
        <v>12540</v>
      </c>
      <c r="J70" s="306">
        <f t="shared" si="23"/>
        <v>1045</v>
      </c>
      <c r="K70" s="279" t="s">
        <v>571</v>
      </c>
      <c r="M70" s="273">
        <f>E70*1.01</f>
        <v>12540.16</v>
      </c>
      <c r="O70" s="322">
        <v>0.05</v>
      </c>
    </row>
    <row r="71" spans="1:15" x14ac:dyDescent="0.3">
      <c r="A71" s="293" t="s">
        <v>59</v>
      </c>
      <c r="B71" s="293">
        <v>3</v>
      </c>
      <c r="C71" s="295">
        <f>94537.32-32715</f>
        <v>61822.320000000007</v>
      </c>
      <c r="D71" s="295">
        <v>24000</v>
      </c>
      <c r="E71" s="295">
        <v>14668</v>
      </c>
      <c r="F71" s="295">
        <f t="shared" si="34"/>
        <v>1629.7777777777778</v>
      </c>
      <c r="G71" s="295"/>
      <c r="H71" s="305">
        <v>0</v>
      </c>
      <c r="I71" s="305">
        <v>26680</v>
      </c>
      <c r="J71" s="306">
        <f t="shared" si="23"/>
        <v>2223.3333333333335</v>
      </c>
      <c r="K71" s="279" t="s">
        <v>424</v>
      </c>
      <c r="L71" s="279"/>
      <c r="M71" s="273">
        <f>SUM(I28+I60+I34)*0.3</f>
        <v>26676</v>
      </c>
      <c r="O71" s="322">
        <v>0.3</v>
      </c>
    </row>
    <row r="72" spans="1:15" x14ac:dyDescent="0.3">
      <c r="A72" s="293" t="s">
        <v>232</v>
      </c>
      <c r="B72" s="293">
        <v>3</v>
      </c>
      <c r="C72" s="295">
        <v>933</v>
      </c>
      <c r="D72" s="295">
        <v>440</v>
      </c>
      <c r="E72" s="295">
        <v>1808</v>
      </c>
      <c r="F72" s="295">
        <f t="shared" si="34"/>
        <v>200.88888888888889</v>
      </c>
      <c r="G72" s="295"/>
      <c r="H72" s="305">
        <f>D72*$N$7</f>
        <v>13.2</v>
      </c>
      <c r="I72" s="305">
        <v>2480</v>
      </c>
      <c r="J72" s="306">
        <f t="shared" si="23"/>
        <v>206.66666666666666</v>
      </c>
      <c r="K72" s="279" t="s">
        <v>640</v>
      </c>
      <c r="L72" s="279"/>
      <c r="M72" s="273">
        <f>SUM((E72+(F72*3))*1.03)</f>
        <v>2482.9866666666667</v>
      </c>
    </row>
    <row r="73" spans="1:15" x14ac:dyDescent="0.3">
      <c r="A73" s="293" t="s">
        <v>70</v>
      </c>
      <c r="B73" s="293"/>
      <c r="C73" s="295"/>
      <c r="D73" s="295">
        <v>0</v>
      </c>
      <c r="E73" s="295">
        <v>991</v>
      </c>
      <c r="F73" s="295">
        <f>E73/9</f>
        <v>110.11111111111111</v>
      </c>
      <c r="G73" s="295"/>
      <c r="H73" s="305"/>
      <c r="I73" s="305">
        <v>1330</v>
      </c>
      <c r="J73" s="306">
        <f t="shared" si="23"/>
        <v>110.83333333333333</v>
      </c>
      <c r="K73" s="279"/>
      <c r="L73" s="279"/>
      <c r="M73" s="273">
        <f t="shared" ref="M73:M74" si="35">SUM(E73)+(F73*3)*1.03</f>
        <v>1331.2433333333333</v>
      </c>
      <c r="N73" s="273">
        <f>SUM(I69)*7.65%</f>
        <v>520.20000000000005</v>
      </c>
    </row>
    <row r="74" spans="1:15" x14ac:dyDescent="0.3">
      <c r="A74" s="293" t="s">
        <v>61</v>
      </c>
      <c r="B74" s="293">
        <v>3</v>
      </c>
      <c r="C74" s="295">
        <v>5971</v>
      </c>
      <c r="D74" s="295">
        <v>2050</v>
      </c>
      <c r="E74" s="295">
        <v>2384</v>
      </c>
      <c r="F74" s="295">
        <f t="shared" ref="F74:F76" si="36">E74/9</f>
        <v>264.88888888888891</v>
      </c>
      <c r="G74" s="295"/>
      <c r="H74" s="305">
        <v>0</v>
      </c>
      <c r="I74" s="305">
        <v>3200</v>
      </c>
      <c r="J74" s="306">
        <f t="shared" si="23"/>
        <v>266.66666666666669</v>
      </c>
      <c r="K74" s="279"/>
      <c r="L74" s="279"/>
      <c r="M74" s="273">
        <f t="shared" si="35"/>
        <v>3202.5066666666667</v>
      </c>
    </row>
    <row r="75" spans="1:15" x14ac:dyDescent="0.3">
      <c r="A75" s="293" t="s">
        <v>62</v>
      </c>
      <c r="B75" s="293">
        <v>3</v>
      </c>
      <c r="C75" s="300">
        <v>54940</v>
      </c>
      <c r="D75" s="300">
        <v>58000</v>
      </c>
      <c r="E75" s="300">
        <v>43770</v>
      </c>
      <c r="F75" s="300">
        <f t="shared" si="36"/>
        <v>4863.333333333333</v>
      </c>
      <c r="G75" s="285"/>
      <c r="H75" s="309">
        <v>0</v>
      </c>
      <c r="I75" s="309">
        <v>60820</v>
      </c>
      <c r="J75" s="310">
        <f t="shared" si="23"/>
        <v>5068.333333333333</v>
      </c>
      <c r="K75" s="279" t="s">
        <v>262</v>
      </c>
      <c r="L75" s="279"/>
      <c r="N75" s="273">
        <f>SUM(I69)*30%</f>
        <v>2040</v>
      </c>
    </row>
    <row r="76" spans="1:15" x14ac:dyDescent="0.3">
      <c r="A76" s="304" t="s">
        <v>92</v>
      </c>
      <c r="B76" s="293"/>
      <c r="C76" s="295">
        <f t="shared" ref="C76:H76" si="37">SUM(C69:C75)</f>
        <v>188905.71000000002</v>
      </c>
      <c r="D76" s="295">
        <f t="shared" si="37"/>
        <v>104960</v>
      </c>
      <c r="E76" s="295">
        <f t="shared" si="37"/>
        <v>80962</v>
      </c>
      <c r="F76" s="295">
        <f t="shared" si="36"/>
        <v>8995.7777777777774</v>
      </c>
      <c r="G76" s="285"/>
      <c r="H76" s="305">
        <f t="shared" si="37"/>
        <v>1198.8800000000001</v>
      </c>
      <c r="I76" s="305">
        <f>SUM(I69:I75)</f>
        <v>113850</v>
      </c>
      <c r="J76" s="306">
        <f>SUM(J69:J75)</f>
        <v>9487.5</v>
      </c>
      <c r="N76" s="273">
        <f>SUM((E76+(F76*3))*1.03)</f>
        <v>111187.81333333332</v>
      </c>
    </row>
    <row r="77" spans="1:15" ht="6.75" customHeight="1" x14ac:dyDescent="0.3">
      <c r="A77" s="304"/>
      <c r="B77" s="293"/>
      <c r="C77" s="295"/>
      <c r="D77" s="295"/>
      <c r="E77" s="295"/>
      <c r="F77" s="295"/>
      <c r="G77" s="295"/>
      <c r="H77" s="305"/>
      <c r="I77" s="305"/>
      <c r="J77" s="306"/>
    </row>
    <row r="78" spans="1:15" x14ac:dyDescent="0.3">
      <c r="A78" s="304" t="s">
        <v>459</v>
      </c>
      <c r="B78" s="293"/>
      <c r="C78" s="295"/>
      <c r="D78" s="295"/>
      <c r="E78" s="295"/>
      <c r="F78" s="295"/>
      <c r="G78" s="295"/>
      <c r="H78" s="305"/>
      <c r="I78" s="305"/>
      <c r="J78" s="306"/>
    </row>
    <row r="79" spans="1:15" x14ac:dyDescent="0.3">
      <c r="A79" s="293" t="s">
        <v>313</v>
      </c>
      <c r="B79" s="293">
        <v>3</v>
      </c>
      <c r="C79" s="295">
        <f>165491.53+325</f>
        <v>165816.53</v>
      </c>
      <c r="D79" s="295">
        <v>56930</v>
      </c>
      <c r="E79" s="295">
        <v>47546</v>
      </c>
      <c r="F79" s="295">
        <f>E79/9</f>
        <v>5282.8888888888887</v>
      </c>
      <c r="G79" s="295"/>
      <c r="H79" s="305">
        <v>0</v>
      </c>
      <c r="I79" s="305">
        <v>55400</v>
      </c>
      <c r="J79" s="306">
        <f>I79/12</f>
        <v>4616.666666666667</v>
      </c>
      <c r="K79" s="279" t="s">
        <v>582</v>
      </c>
      <c r="L79" s="279"/>
    </row>
    <row r="80" spans="1:15" x14ac:dyDescent="0.3">
      <c r="A80" s="293" t="s">
        <v>295</v>
      </c>
      <c r="B80" s="293">
        <v>3</v>
      </c>
      <c r="C80" s="300">
        <f>61979.76+32826</f>
        <v>94805.760000000009</v>
      </c>
      <c r="D80" s="300">
        <v>31540</v>
      </c>
      <c r="E80" s="300">
        <v>26180</v>
      </c>
      <c r="F80" s="300">
        <f t="shared" ref="F80" si="38">E80/9</f>
        <v>2908.8888888888887</v>
      </c>
      <c r="G80" s="285"/>
      <c r="H80" s="309">
        <v>0</v>
      </c>
      <c r="I80" s="309">
        <v>33070</v>
      </c>
      <c r="J80" s="310">
        <f>I80/12</f>
        <v>2755.8333333333335</v>
      </c>
      <c r="K80" s="279" t="s">
        <v>582</v>
      </c>
      <c r="L80" s="279"/>
    </row>
    <row r="81" spans="1:13" x14ac:dyDescent="0.3">
      <c r="A81" s="304" t="s">
        <v>314</v>
      </c>
      <c r="B81" s="293"/>
      <c r="C81" s="295">
        <f>SUM(C79:C80)</f>
        <v>260622.29</v>
      </c>
      <c r="D81" s="295">
        <f t="shared" ref="D81:J81" si="39">SUM(D79:D80)</f>
        <v>88470</v>
      </c>
      <c r="E81" s="295">
        <f t="shared" si="39"/>
        <v>73726</v>
      </c>
      <c r="F81" s="295">
        <f>SUM(F79:F80)</f>
        <v>8191.7777777777774</v>
      </c>
      <c r="G81" s="285"/>
      <c r="H81" s="305">
        <f t="shared" si="39"/>
        <v>0</v>
      </c>
      <c r="I81" s="305">
        <f t="shared" si="39"/>
        <v>88470</v>
      </c>
      <c r="J81" s="306">
        <f t="shared" si="39"/>
        <v>7372.5</v>
      </c>
    </row>
    <row r="82" spans="1:13" ht="10.5" customHeight="1" x14ac:dyDescent="0.3">
      <c r="A82" s="304"/>
      <c r="B82" s="293"/>
      <c r="C82" s="295"/>
      <c r="D82" s="295"/>
      <c r="E82" s="295"/>
      <c r="F82" s="295"/>
      <c r="G82" s="295"/>
      <c r="H82" s="305"/>
      <c r="I82" s="305"/>
      <c r="J82" s="306"/>
    </row>
    <row r="83" spans="1:13" x14ac:dyDescent="0.3">
      <c r="A83" s="304" t="s">
        <v>84</v>
      </c>
      <c r="B83" s="293"/>
      <c r="C83" s="295"/>
      <c r="D83" s="295"/>
      <c r="E83" s="295"/>
      <c r="F83" s="295"/>
      <c r="G83" s="295"/>
      <c r="H83" s="305"/>
      <c r="I83" s="305"/>
      <c r="J83" s="306"/>
    </row>
    <row r="84" spans="1:13" x14ac:dyDescent="0.3">
      <c r="A84" s="293" t="s">
        <v>315</v>
      </c>
      <c r="B84" s="293">
        <v>3</v>
      </c>
      <c r="C84" s="300">
        <v>37137</v>
      </c>
      <c r="D84" s="300">
        <v>15000</v>
      </c>
      <c r="E84" s="300">
        <v>11250</v>
      </c>
      <c r="F84" s="300">
        <f>E84/9</f>
        <v>1250</v>
      </c>
      <c r="G84" s="285"/>
      <c r="H84" s="309">
        <v>0</v>
      </c>
      <c r="I84" s="309">
        <v>15000</v>
      </c>
      <c r="J84" s="310">
        <f t="shared" si="23"/>
        <v>1250</v>
      </c>
      <c r="M84" s="273">
        <f t="shared" ref="M84" si="40">SUM(E84)+(F84*3)*1.03</f>
        <v>15112.5</v>
      </c>
    </row>
    <row r="85" spans="1:13" hidden="1" x14ac:dyDescent="0.3">
      <c r="A85" s="293" t="s">
        <v>234</v>
      </c>
      <c r="B85" s="293">
        <v>3</v>
      </c>
      <c r="C85" s="300">
        <v>0</v>
      </c>
      <c r="D85" s="300">
        <v>0</v>
      </c>
      <c r="E85" s="300">
        <f t="shared" ref="E85:E90" si="41">D85/12</f>
        <v>0</v>
      </c>
      <c r="F85" s="300"/>
      <c r="G85" s="285"/>
      <c r="H85" s="309">
        <f>D85*$N$7</f>
        <v>0</v>
      </c>
      <c r="I85" s="309">
        <f t="shared" si="26"/>
        <v>0</v>
      </c>
      <c r="J85" s="310">
        <f t="shared" si="23"/>
        <v>0</v>
      </c>
    </row>
    <row r="86" spans="1:13" x14ac:dyDescent="0.3">
      <c r="A86" s="304" t="s">
        <v>93</v>
      </c>
      <c r="B86" s="293"/>
      <c r="C86" s="295">
        <f>SUM(C84:C85)</f>
        <v>37137</v>
      </c>
      <c r="D86" s="295">
        <f t="shared" ref="D86:J86" si="42">SUM(D84:D85)</f>
        <v>15000</v>
      </c>
      <c r="E86" s="295">
        <f t="shared" si="42"/>
        <v>11250</v>
      </c>
      <c r="F86" s="295">
        <f>SUM(F84)</f>
        <v>1250</v>
      </c>
      <c r="G86" s="295"/>
      <c r="H86" s="305">
        <f t="shared" si="42"/>
        <v>0</v>
      </c>
      <c r="I86" s="305">
        <f t="shared" si="42"/>
        <v>15000</v>
      </c>
      <c r="J86" s="306">
        <f t="shared" si="42"/>
        <v>1250</v>
      </c>
    </row>
    <row r="87" spans="1:13" ht="9" customHeight="1" x14ac:dyDescent="0.3">
      <c r="A87" s="304"/>
      <c r="B87" s="293"/>
      <c r="C87" s="295"/>
      <c r="D87" s="295"/>
      <c r="E87" s="295"/>
      <c r="F87" s="295"/>
      <c r="G87" s="295"/>
      <c r="H87" s="305"/>
      <c r="I87" s="305"/>
      <c r="J87" s="306"/>
    </row>
    <row r="88" spans="1:13" x14ac:dyDescent="0.3">
      <c r="A88" s="304" t="s">
        <v>458</v>
      </c>
      <c r="B88" s="293"/>
      <c r="C88" s="295"/>
      <c r="D88" s="295"/>
      <c r="E88" s="295"/>
      <c r="F88" s="295"/>
      <c r="G88" s="295"/>
      <c r="H88" s="305"/>
      <c r="I88" s="305"/>
      <c r="J88" s="306"/>
    </row>
    <row r="89" spans="1:13" x14ac:dyDescent="0.3">
      <c r="A89" s="293" t="s">
        <v>316</v>
      </c>
      <c r="B89" s="293">
        <v>3</v>
      </c>
      <c r="C89" s="295">
        <v>0</v>
      </c>
      <c r="D89" s="295">
        <v>5000</v>
      </c>
      <c r="E89" s="295">
        <v>0</v>
      </c>
      <c r="F89" s="295">
        <f>E89/9</f>
        <v>0</v>
      </c>
      <c r="G89" s="295"/>
      <c r="H89" s="305">
        <v>0</v>
      </c>
      <c r="I89" s="305">
        <v>0</v>
      </c>
      <c r="J89" s="306">
        <f t="shared" si="23"/>
        <v>0</v>
      </c>
      <c r="K89" s="279" t="s">
        <v>325</v>
      </c>
      <c r="L89" s="279"/>
    </row>
    <row r="90" spans="1:13" hidden="1" x14ac:dyDescent="0.3">
      <c r="A90" s="293" t="s">
        <v>317</v>
      </c>
      <c r="B90" s="293">
        <v>3</v>
      </c>
      <c r="C90" s="295">
        <v>0</v>
      </c>
      <c r="D90" s="295">
        <v>0</v>
      </c>
      <c r="E90" s="295">
        <f t="shared" si="41"/>
        <v>0</v>
      </c>
      <c r="F90" s="295">
        <f t="shared" ref="F90:F94" si="43">E90/9</f>
        <v>0</v>
      </c>
      <c r="G90" s="295"/>
      <c r="H90" s="305">
        <f>D90*$N$7</f>
        <v>0</v>
      </c>
      <c r="I90" s="305">
        <f t="shared" si="26"/>
        <v>0</v>
      </c>
      <c r="J90" s="306">
        <f t="shared" si="23"/>
        <v>0</v>
      </c>
    </row>
    <row r="91" spans="1:13" x14ac:dyDescent="0.3">
      <c r="A91" s="293" t="s">
        <v>326</v>
      </c>
      <c r="B91" s="293">
        <v>3</v>
      </c>
      <c r="C91" s="295">
        <v>0</v>
      </c>
      <c r="D91" s="295">
        <v>37000</v>
      </c>
      <c r="E91" s="295">
        <v>0</v>
      </c>
      <c r="F91" s="295">
        <f t="shared" si="43"/>
        <v>0</v>
      </c>
      <c r="G91" s="295"/>
      <c r="H91" s="305">
        <v>0</v>
      </c>
      <c r="I91" s="305">
        <v>25000</v>
      </c>
      <c r="J91" s="306">
        <f t="shared" si="23"/>
        <v>2083.3333333333335</v>
      </c>
      <c r="K91" s="279" t="s">
        <v>614</v>
      </c>
      <c r="L91" s="279"/>
    </row>
    <row r="92" spans="1:13" x14ac:dyDescent="0.3">
      <c r="A92" s="293" t="s">
        <v>327</v>
      </c>
      <c r="B92" s="293">
        <v>3</v>
      </c>
      <c r="C92" s="295">
        <v>0</v>
      </c>
      <c r="D92" s="295">
        <v>3000</v>
      </c>
      <c r="E92" s="295">
        <v>4363</v>
      </c>
      <c r="F92" s="295">
        <f t="shared" si="43"/>
        <v>484.77777777777777</v>
      </c>
      <c r="G92" s="295"/>
      <c r="H92" s="305">
        <v>0</v>
      </c>
      <c r="I92" s="305">
        <v>0</v>
      </c>
      <c r="J92" s="306">
        <f t="shared" si="23"/>
        <v>0</v>
      </c>
      <c r="K92" s="273" t="s">
        <v>641</v>
      </c>
      <c r="L92" s="279"/>
    </row>
    <row r="93" spans="1:13" hidden="1" x14ac:dyDescent="0.3">
      <c r="A93" s="293" t="s">
        <v>64</v>
      </c>
      <c r="B93" s="293">
        <v>3</v>
      </c>
      <c r="C93" s="295">
        <v>0</v>
      </c>
      <c r="D93" s="295">
        <v>0</v>
      </c>
      <c r="E93" s="295">
        <v>0</v>
      </c>
      <c r="F93" s="295">
        <f t="shared" si="43"/>
        <v>0</v>
      </c>
      <c r="G93" s="295"/>
      <c r="H93" s="305">
        <v>0</v>
      </c>
      <c r="I93" s="305">
        <v>0</v>
      </c>
      <c r="J93" s="306">
        <f t="shared" si="23"/>
        <v>0</v>
      </c>
      <c r="K93" s="279"/>
      <c r="L93" s="279"/>
    </row>
    <row r="94" spans="1:13" x14ac:dyDescent="0.3">
      <c r="A94" s="293" t="s">
        <v>26</v>
      </c>
      <c r="B94" s="293">
        <v>3</v>
      </c>
      <c r="C94" s="295">
        <v>0</v>
      </c>
      <c r="D94" s="295">
        <v>2800</v>
      </c>
      <c r="E94" s="295">
        <v>0</v>
      </c>
      <c r="F94" s="295">
        <f t="shared" si="43"/>
        <v>0</v>
      </c>
      <c r="G94" s="295"/>
      <c r="H94" s="305">
        <v>0</v>
      </c>
      <c r="I94" s="305">
        <v>0</v>
      </c>
      <c r="J94" s="306">
        <f t="shared" si="23"/>
        <v>0</v>
      </c>
      <c r="K94" s="279"/>
      <c r="L94" s="279"/>
    </row>
    <row r="95" spans="1:13" x14ac:dyDescent="0.3">
      <c r="A95" s="293" t="s">
        <v>65</v>
      </c>
      <c r="B95" s="293">
        <v>3</v>
      </c>
      <c r="C95" s="300">
        <v>0</v>
      </c>
      <c r="D95" s="300">
        <v>8000</v>
      </c>
      <c r="E95" s="300">
        <v>3985</v>
      </c>
      <c r="F95" s="300">
        <f>E95/9</f>
        <v>442.77777777777777</v>
      </c>
      <c r="G95" s="285"/>
      <c r="H95" s="309">
        <f>D95*$N$7</f>
        <v>240</v>
      </c>
      <c r="I95" s="309">
        <v>8000</v>
      </c>
      <c r="J95" s="310">
        <f t="shared" si="23"/>
        <v>666.66666666666663</v>
      </c>
      <c r="K95" s="279" t="s">
        <v>451</v>
      </c>
      <c r="L95" s="279"/>
    </row>
    <row r="96" spans="1:13" ht="20.25" thickBot="1" x14ac:dyDescent="0.35">
      <c r="A96" s="304" t="s">
        <v>320</v>
      </c>
      <c r="B96" s="293"/>
      <c r="C96" s="295">
        <f>SUM(C83:C95)</f>
        <v>74274</v>
      </c>
      <c r="D96" s="295">
        <f>SUM(D89:D95)</f>
        <v>55800</v>
      </c>
      <c r="E96" s="295">
        <f>SUM(E89:E95)</f>
        <v>8348</v>
      </c>
      <c r="F96" s="295">
        <f>SUM(F89:F95)</f>
        <v>927.55555555555554</v>
      </c>
      <c r="G96" s="285"/>
      <c r="H96" s="326">
        <f>SUM(H83:H95)</f>
        <v>240</v>
      </c>
      <c r="I96" s="326">
        <f>SUM(I89:I95)</f>
        <v>33000</v>
      </c>
      <c r="J96" s="327">
        <f>SUM(J83:J95)</f>
        <v>5250.0000000000009</v>
      </c>
      <c r="K96" s="279"/>
      <c r="L96" s="279"/>
    </row>
    <row r="97" spans="1:10" x14ac:dyDescent="0.3">
      <c r="A97" s="293"/>
      <c r="B97" s="293"/>
      <c r="C97" s="293"/>
      <c r="D97" s="293"/>
      <c r="E97" s="293"/>
      <c r="F97" s="293"/>
      <c r="G97" s="293"/>
      <c r="H97" s="328"/>
      <c r="I97" s="328"/>
      <c r="J97" s="328"/>
    </row>
  </sheetData>
  <pageMargins left="0.7" right="0.28000000000000003" top="0.31" bottom="0.36" header="0.17" footer="0.23"/>
  <pageSetup scale="41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4"/>
  <sheetViews>
    <sheetView zoomScale="80" zoomScaleNormal="80" workbookViewId="0">
      <selection activeCell="G32" sqref="G32"/>
    </sheetView>
  </sheetViews>
  <sheetFormatPr defaultRowHeight="19.5" x14ac:dyDescent="0.3"/>
  <cols>
    <col min="1" max="1" width="47.28515625" style="273" bestFit="1" customWidth="1"/>
    <col min="2" max="2" width="9.140625" style="273" hidden="1" customWidth="1"/>
    <col min="3" max="3" width="12.85546875" style="273" hidden="1" customWidth="1"/>
    <col min="4" max="4" width="17" style="273" customWidth="1"/>
    <col min="5" max="5" width="18.5703125" style="273" bestFit="1" customWidth="1"/>
    <col min="6" max="6" width="15.28515625" style="273" customWidth="1"/>
    <col min="7" max="7" width="3.5703125" style="273" customWidth="1"/>
    <col min="8" max="8" width="9.28515625" style="273" hidden="1" customWidth="1"/>
    <col min="9" max="9" width="33" style="273" customWidth="1"/>
    <col min="10" max="10" width="13.140625" style="273" bestFit="1" customWidth="1"/>
    <col min="11" max="11" width="59.7109375" style="273" customWidth="1"/>
    <col min="12" max="12" width="3.28515625" style="273" customWidth="1"/>
    <col min="13" max="13" width="6.85546875" style="273" customWidth="1"/>
    <col min="14" max="14" width="10.7109375" style="273" bestFit="1" customWidth="1"/>
    <col min="15" max="16384" width="9.140625" style="273"/>
  </cols>
  <sheetData>
    <row r="1" spans="1:14" x14ac:dyDescent="0.3">
      <c r="I1" s="274" t="str">
        <f>'Mtn View'!I1:J1</f>
        <v>Projected Annual Budget 2016</v>
      </c>
      <c r="J1" s="275"/>
      <c r="K1" s="276"/>
    </row>
    <row r="2" spans="1:14" x14ac:dyDescent="0.3">
      <c r="I2" s="277" t="s">
        <v>395</v>
      </c>
      <c r="J2" s="278"/>
      <c r="K2" s="282"/>
    </row>
    <row r="3" spans="1:14" ht="20.25" thickBot="1" x14ac:dyDescent="0.35">
      <c r="A3" s="280" t="s">
        <v>493</v>
      </c>
      <c r="D3" s="280"/>
      <c r="I3" s="281"/>
      <c r="J3" s="278"/>
      <c r="K3" s="282"/>
    </row>
    <row r="4" spans="1:14" ht="59.25" thickBot="1" x14ac:dyDescent="0.35">
      <c r="A4" s="283" t="s">
        <v>77</v>
      </c>
      <c r="B4" s="283" t="s">
        <v>78</v>
      </c>
      <c r="C4" s="283" t="s">
        <v>79</v>
      </c>
      <c r="D4" s="284" t="str">
        <f>'Mtn View'!D4</f>
        <v>2015 Annual Budget</v>
      </c>
      <c r="E4" s="284" t="str">
        <f>'Mtn View'!E4</f>
        <v>YTD Actual FY 2015 @ 9/30/15</v>
      </c>
      <c r="F4" s="284" t="str">
        <f>'Mtn View'!F4</f>
        <v>FY 2015 - 9 month Avg</v>
      </c>
      <c r="G4" s="329"/>
      <c r="H4" s="286"/>
      <c r="I4" s="330" t="s">
        <v>430</v>
      </c>
      <c r="J4" s="331" t="s">
        <v>431</v>
      </c>
      <c r="M4" s="332"/>
      <c r="N4" s="280"/>
    </row>
    <row r="5" spans="1:14" x14ac:dyDescent="0.3">
      <c r="A5" s="293" t="s">
        <v>269</v>
      </c>
      <c r="B5" s="293">
        <v>3</v>
      </c>
      <c r="C5" s="295">
        <f>-300+9</f>
        <v>-291</v>
      </c>
      <c r="D5" s="285">
        <v>0</v>
      </c>
      <c r="E5" s="285">
        <v>-20484</v>
      </c>
      <c r="F5" s="285">
        <f>E5/9</f>
        <v>-2276</v>
      </c>
      <c r="G5" s="285"/>
      <c r="H5" s="333">
        <v>0</v>
      </c>
      <c r="I5" s="333">
        <v>-20000</v>
      </c>
      <c r="J5" s="334">
        <f t="shared" ref="J5:J14" si="0">I5/12</f>
        <v>-1666.6666666666667</v>
      </c>
      <c r="K5" s="273" t="s">
        <v>591</v>
      </c>
      <c r="M5" s="335">
        <v>0.03</v>
      </c>
      <c r="N5" s="273">
        <f>SUM(E5)+(F5*3)*1.03</f>
        <v>-27516.84</v>
      </c>
    </row>
    <row r="6" spans="1:14" x14ac:dyDescent="0.3">
      <c r="A6" s="293" t="s">
        <v>35</v>
      </c>
      <c r="B6" s="293"/>
      <c r="C6" s="295"/>
      <c r="D6" s="285">
        <v>-100</v>
      </c>
      <c r="E6" s="285">
        <v>-237</v>
      </c>
      <c r="F6" s="285">
        <f t="shared" ref="F6:F13" si="1">E6/9</f>
        <v>-26.333333333333332</v>
      </c>
      <c r="G6" s="285"/>
      <c r="H6" s="336"/>
      <c r="I6" s="336">
        <v>-250</v>
      </c>
      <c r="J6" s="337">
        <f t="shared" si="0"/>
        <v>-20.833333333333332</v>
      </c>
      <c r="M6" s="335"/>
      <c r="N6" s="273">
        <f t="shared" ref="N6:N14" si="2">SUM(E6)+(F6*3)*1.03</f>
        <v>-318.37</v>
      </c>
    </row>
    <row r="7" spans="1:14" x14ac:dyDescent="0.3">
      <c r="A7" s="293" t="s">
        <v>270</v>
      </c>
      <c r="B7" s="293">
        <v>3</v>
      </c>
      <c r="C7" s="295">
        <f>-262531.71+160881</f>
        <v>-101650.71000000002</v>
      </c>
      <c r="D7" s="285">
        <v>-114700</v>
      </c>
      <c r="E7" s="285">
        <v>-110713</v>
      </c>
      <c r="F7" s="285">
        <f t="shared" si="1"/>
        <v>-12301.444444444445</v>
      </c>
      <c r="G7" s="285"/>
      <c r="H7" s="336">
        <v>0</v>
      </c>
      <c r="I7" s="336">
        <v>-200000</v>
      </c>
      <c r="J7" s="337">
        <f t="shared" si="0"/>
        <v>-16666.666666666668</v>
      </c>
      <c r="N7" s="273">
        <f t="shared" si="2"/>
        <v>-148724.46333333335</v>
      </c>
    </row>
    <row r="8" spans="1:14" x14ac:dyDescent="0.3">
      <c r="A8" s="293" t="s">
        <v>616</v>
      </c>
      <c r="B8" s="293">
        <v>3</v>
      </c>
      <c r="C8" s="295">
        <v>-207087.72</v>
      </c>
      <c r="D8" s="285">
        <v>-87300</v>
      </c>
      <c r="E8" s="285">
        <v>-60026</v>
      </c>
      <c r="F8" s="285">
        <f t="shared" si="1"/>
        <v>-6669.5555555555557</v>
      </c>
      <c r="G8" s="285"/>
      <c r="H8" s="336">
        <v>0</v>
      </c>
      <c r="I8" s="336">
        <v>-55000</v>
      </c>
      <c r="J8" s="337">
        <f t="shared" si="0"/>
        <v>-4583.333333333333</v>
      </c>
      <c r="N8" s="273">
        <f t="shared" si="2"/>
        <v>-80634.926666666666</v>
      </c>
    </row>
    <row r="9" spans="1:14" x14ac:dyDescent="0.3">
      <c r="A9" s="293" t="s">
        <v>271</v>
      </c>
      <c r="B9" s="293">
        <v>3</v>
      </c>
      <c r="C9" s="295">
        <f>-7065.15-6974</f>
        <v>-14039.15</v>
      </c>
      <c r="D9" s="285">
        <v>-64820</v>
      </c>
      <c r="E9" s="285">
        <v>-72637</v>
      </c>
      <c r="F9" s="285">
        <f t="shared" si="1"/>
        <v>-8070.7777777777774</v>
      </c>
      <c r="G9" s="285"/>
      <c r="H9" s="336">
        <v>0</v>
      </c>
      <c r="I9" s="336">
        <v>-70000</v>
      </c>
      <c r="J9" s="337">
        <f t="shared" si="0"/>
        <v>-5833.333333333333</v>
      </c>
      <c r="N9" s="273">
        <f t="shared" si="2"/>
        <v>-97575.703333333338</v>
      </c>
    </row>
    <row r="10" spans="1:14" x14ac:dyDescent="0.3">
      <c r="A10" s="293" t="s">
        <v>617</v>
      </c>
      <c r="B10" s="293">
        <v>3</v>
      </c>
      <c r="C10" s="295">
        <f>-98021.33-10037</f>
        <v>-108058.33</v>
      </c>
      <c r="D10" s="285">
        <v>-56170</v>
      </c>
      <c r="E10" s="285">
        <v>-38082</v>
      </c>
      <c r="F10" s="285">
        <f t="shared" si="1"/>
        <v>-4231.333333333333</v>
      </c>
      <c r="G10" s="285"/>
      <c r="H10" s="336">
        <v>0</v>
      </c>
      <c r="I10" s="336">
        <v>-70000</v>
      </c>
      <c r="J10" s="337">
        <f t="shared" si="0"/>
        <v>-5833.333333333333</v>
      </c>
      <c r="N10" s="273">
        <f t="shared" si="2"/>
        <v>-51156.82</v>
      </c>
    </row>
    <row r="11" spans="1:14" x14ac:dyDescent="0.3">
      <c r="A11" s="293" t="s">
        <v>618</v>
      </c>
      <c r="B11" s="293">
        <v>3</v>
      </c>
      <c r="C11" s="295">
        <v>0</v>
      </c>
      <c r="D11" s="285">
        <v>-75000</v>
      </c>
      <c r="E11" s="285">
        <v>-38373</v>
      </c>
      <c r="F11" s="285">
        <f t="shared" si="1"/>
        <v>-4263.666666666667</v>
      </c>
      <c r="G11" s="285"/>
      <c r="H11" s="336">
        <v>0</v>
      </c>
      <c r="I11" s="336">
        <v>-85000</v>
      </c>
      <c r="J11" s="337">
        <f t="shared" si="0"/>
        <v>-7083.333333333333</v>
      </c>
      <c r="N11" s="273">
        <f t="shared" si="2"/>
        <v>-51547.729999999996</v>
      </c>
    </row>
    <row r="12" spans="1:14" x14ac:dyDescent="0.3">
      <c r="A12" s="293" t="s">
        <v>619</v>
      </c>
      <c r="B12" s="293">
        <v>3</v>
      </c>
      <c r="C12" s="295">
        <f>-248516.58+85119</f>
        <v>-163397.57999999999</v>
      </c>
      <c r="D12" s="285">
        <v>-112900</v>
      </c>
      <c r="E12" s="285">
        <v>-56290</v>
      </c>
      <c r="F12" s="285">
        <f t="shared" si="1"/>
        <v>-6254.4444444444443</v>
      </c>
      <c r="G12" s="285"/>
      <c r="H12" s="336">
        <v>0</v>
      </c>
      <c r="I12" s="336">
        <v>-12000</v>
      </c>
      <c r="J12" s="337">
        <f t="shared" si="0"/>
        <v>-1000</v>
      </c>
      <c r="N12" s="273">
        <f t="shared" si="2"/>
        <v>-75616.233333333337</v>
      </c>
    </row>
    <row r="13" spans="1:14" x14ac:dyDescent="0.3">
      <c r="A13" s="293" t="s">
        <v>272</v>
      </c>
      <c r="B13" s="293">
        <v>3</v>
      </c>
      <c r="C13" s="295">
        <v>-3145.4133333333334</v>
      </c>
      <c r="D13" s="285">
        <v>-1079.9252444444446</v>
      </c>
      <c r="E13" s="285">
        <v>-409</v>
      </c>
      <c r="F13" s="285">
        <f t="shared" si="1"/>
        <v>-45.444444444444443</v>
      </c>
      <c r="G13" s="285"/>
      <c r="H13" s="336">
        <v>0</v>
      </c>
      <c r="I13" s="336">
        <v>-4000</v>
      </c>
      <c r="J13" s="337">
        <f t="shared" si="0"/>
        <v>-333.33333333333331</v>
      </c>
      <c r="N13" s="273">
        <f t="shared" si="2"/>
        <v>-549.42333333333329</v>
      </c>
    </row>
    <row r="14" spans="1:14" x14ac:dyDescent="0.3">
      <c r="A14" s="293" t="s">
        <v>273</v>
      </c>
      <c r="B14" s="293">
        <v>3</v>
      </c>
      <c r="C14" s="300">
        <f>-826629.24+200013</f>
        <v>-626616.24</v>
      </c>
      <c r="D14" s="301">
        <v>-500</v>
      </c>
      <c r="E14" s="301">
        <v>-35</v>
      </c>
      <c r="F14" s="301">
        <f>E14/9</f>
        <v>-3.8888888888888888</v>
      </c>
      <c r="G14" s="285"/>
      <c r="H14" s="338">
        <v>0</v>
      </c>
      <c r="I14" s="338">
        <v>-60</v>
      </c>
      <c r="J14" s="339">
        <f t="shared" si="0"/>
        <v>-5</v>
      </c>
      <c r="N14" s="273">
        <f t="shared" si="2"/>
        <v>-47.016666666666666</v>
      </c>
    </row>
    <row r="15" spans="1:14" x14ac:dyDescent="0.3">
      <c r="A15" s="293" t="s">
        <v>81</v>
      </c>
      <c r="B15" s="293"/>
      <c r="C15" s="295">
        <f>SUM(C5:C14)</f>
        <v>-1224286.1433333335</v>
      </c>
      <c r="D15" s="285">
        <f t="shared" ref="D15:E15" si="3">SUM(D5:D14)</f>
        <v>-512569.92524444446</v>
      </c>
      <c r="E15" s="285">
        <f t="shared" si="3"/>
        <v>-397286</v>
      </c>
      <c r="F15" s="285">
        <f>SUM(F5:F14)</f>
        <v>-44142.888888888891</v>
      </c>
      <c r="G15" s="285"/>
      <c r="H15" s="336">
        <v>0</v>
      </c>
      <c r="I15" s="336">
        <f>SUM(I5:I14)</f>
        <v>-516310</v>
      </c>
      <c r="J15" s="337">
        <f>SUM(J5:J14)</f>
        <v>-43025.833333333336</v>
      </c>
      <c r="K15" s="279"/>
    </row>
    <row r="16" spans="1:14" x14ac:dyDescent="0.3">
      <c r="A16" s="293"/>
      <c r="B16" s="293"/>
      <c r="C16" s="295"/>
      <c r="D16" s="285"/>
      <c r="E16" s="285"/>
      <c r="F16" s="285"/>
      <c r="G16" s="285"/>
      <c r="H16" s="336"/>
      <c r="I16" s="336"/>
      <c r="J16" s="337"/>
      <c r="K16" s="279"/>
    </row>
    <row r="17" spans="1:14" x14ac:dyDescent="0.3">
      <c r="A17" s="293" t="s">
        <v>82</v>
      </c>
      <c r="B17" s="293"/>
      <c r="C17" s="295">
        <f>C37</f>
        <v>816582.99</v>
      </c>
      <c r="D17" s="285">
        <f t="shared" ref="D17:E17" si="4">D37</f>
        <v>254800.21429999999</v>
      </c>
      <c r="E17" s="285">
        <f t="shared" si="4"/>
        <v>139731</v>
      </c>
      <c r="F17" s="285">
        <f>E17/9</f>
        <v>15525.666666666666</v>
      </c>
      <c r="G17" s="285"/>
      <c r="H17" s="336">
        <v>0</v>
      </c>
      <c r="I17" s="336">
        <f>I37</f>
        <v>272010</v>
      </c>
      <c r="J17" s="337">
        <f>J37</f>
        <v>22667.5</v>
      </c>
      <c r="K17" s="307"/>
      <c r="L17" s="308"/>
    </row>
    <row r="18" spans="1:14" x14ac:dyDescent="0.3">
      <c r="A18" s="293" t="s">
        <v>95</v>
      </c>
      <c r="B18" s="293"/>
      <c r="C18" s="295">
        <f>C46</f>
        <v>619456.76</v>
      </c>
      <c r="D18" s="285">
        <f>D46</f>
        <v>212679.81953333333</v>
      </c>
      <c r="E18" s="285">
        <f>E46</f>
        <v>149450</v>
      </c>
      <c r="F18" s="285">
        <f>E18/9</f>
        <v>16605.555555555555</v>
      </c>
      <c r="G18" s="285"/>
      <c r="H18" s="340">
        <v>0</v>
      </c>
      <c r="I18" s="336">
        <f>I46</f>
        <v>201070</v>
      </c>
      <c r="J18" s="337">
        <f>J46</f>
        <v>16755.833333333332</v>
      </c>
      <c r="K18" s="307"/>
    </row>
    <row r="19" spans="1:14" x14ac:dyDescent="0.3">
      <c r="A19" s="293" t="s">
        <v>83</v>
      </c>
      <c r="B19" s="293"/>
      <c r="C19" s="295">
        <f>C56</f>
        <v>2912.36</v>
      </c>
      <c r="D19" s="285">
        <f>D57</f>
        <v>43589.932374999997</v>
      </c>
      <c r="E19" s="285">
        <f>E57</f>
        <v>30295</v>
      </c>
      <c r="F19" s="285">
        <f>E19/9</f>
        <v>3366.1111111111113</v>
      </c>
      <c r="G19" s="285"/>
      <c r="H19" s="336">
        <v>0</v>
      </c>
      <c r="I19" s="336">
        <f>I57</f>
        <v>43230</v>
      </c>
      <c r="J19" s="337">
        <f>J57</f>
        <v>3602.5</v>
      </c>
      <c r="K19" s="307"/>
    </row>
    <row r="20" spans="1:14" x14ac:dyDescent="0.3">
      <c r="A20" s="293" t="s">
        <v>85</v>
      </c>
      <c r="B20" s="320"/>
      <c r="C20" s="300">
        <f>C63</f>
        <v>4369</v>
      </c>
      <c r="D20" s="300">
        <f>D63</f>
        <v>1500</v>
      </c>
      <c r="E20" s="300">
        <v>0</v>
      </c>
      <c r="F20" s="301">
        <f>E20/9</f>
        <v>0</v>
      </c>
      <c r="G20" s="285"/>
      <c r="H20" s="341">
        <v>0</v>
      </c>
      <c r="I20" s="341">
        <f>I63</f>
        <v>0</v>
      </c>
      <c r="J20" s="342">
        <f>J63</f>
        <v>0</v>
      </c>
      <c r="K20" s="307"/>
    </row>
    <row r="21" spans="1:14" x14ac:dyDescent="0.3">
      <c r="A21" s="293" t="s">
        <v>86</v>
      </c>
      <c r="B21" s="293"/>
      <c r="C21" s="300">
        <f>SUM(C17:C20)</f>
        <v>1443321.11</v>
      </c>
      <c r="D21" s="300">
        <f>SUM(D17:D20)</f>
        <v>512569.96620833327</v>
      </c>
      <c r="E21" s="300">
        <f>SUM(E17:E20)</f>
        <v>319476</v>
      </c>
      <c r="F21" s="300">
        <f>SUM(F17:F20)</f>
        <v>35497.333333333328</v>
      </c>
      <c r="G21" s="285"/>
      <c r="H21" s="341">
        <f>SUM(H17:H20)</f>
        <v>0</v>
      </c>
      <c r="I21" s="341">
        <f>SUM(I17:I20)</f>
        <v>516310</v>
      </c>
      <c r="J21" s="342">
        <f>SUM(J17:J20)</f>
        <v>43025.833333333328</v>
      </c>
      <c r="K21" s="307"/>
    </row>
    <row r="22" spans="1:14" x14ac:dyDescent="0.3">
      <c r="A22" s="293"/>
      <c r="B22" s="293"/>
      <c r="C22" s="295"/>
      <c r="D22" s="295"/>
      <c r="E22" s="295"/>
      <c r="F22" s="295"/>
      <c r="G22" s="285"/>
      <c r="H22" s="343"/>
      <c r="I22" s="343"/>
      <c r="J22" s="344"/>
      <c r="K22" s="307"/>
    </row>
    <row r="23" spans="1:14" ht="20.25" thickBot="1" x14ac:dyDescent="0.35">
      <c r="A23" s="345" t="s">
        <v>87</v>
      </c>
      <c r="B23" s="346"/>
      <c r="C23" s="347">
        <f>SUM(-C15-C21)</f>
        <v>-219034.96666666656</v>
      </c>
      <c r="D23" s="317">
        <f>SUM(D15+D21)</f>
        <v>4.0963888808619231E-2</v>
      </c>
      <c r="E23" s="317">
        <f t="shared" ref="E23:F23" si="5">SUM(E15+E21)</f>
        <v>-77810</v>
      </c>
      <c r="F23" s="317">
        <f t="shared" si="5"/>
        <v>-8645.555555555562</v>
      </c>
      <c r="G23" s="285"/>
      <c r="H23" s="318">
        <f>SUM(-H12-H21)</f>
        <v>0</v>
      </c>
      <c r="I23" s="318">
        <f>SUM(I15+I21)</f>
        <v>0</v>
      </c>
      <c r="J23" s="319">
        <f>SUM(J15+J21)</f>
        <v>-7.2759576141834259E-12</v>
      </c>
      <c r="K23" s="298"/>
    </row>
    <row r="24" spans="1:14" x14ac:dyDescent="0.3">
      <c r="A24" s="304" t="s">
        <v>454</v>
      </c>
      <c r="B24" s="293"/>
      <c r="C24" s="295"/>
      <c r="D24" s="295"/>
      <c r="E24" s="295"/>
      <c r="F24" s="295"/>
      <c r="G24" s="285"/>
      <c r="H24" s="343"/>
      <c r="I24" s="343"/>
      <c r="J24" s="344"/>
      <c r="K24" s="298"/>
    </row>
    <row r="25" spans="1:14" x14ac:dyDescent="0.3">
      <c r="A25" s="293" t="s">
        <v>39</v>
      </c>
      <c r="B25" s="293">
        <v>3</v>
      </c>
      <c r="C25" s="295">
        <f>285061.2+14123</f>
        <v>299184.2</v>
      </c>
      <c r="D25" s="295">
        <v>102719.90866666667</v>
      </c>
      <c r="E25" s="295">
        <v>70080</v>
      </c>
      <c r="F25" s="295">
        <f>E25/9</f>
        <v>7786.666666666667</v>
      </c>
      <c r="G25" s="295"/>
      <c r="H25" s="343">
        <v>2991.8419999999996</v>
      </c>
      <c r="I25" s="343">
        <v>85000</v>
      </c>
      <c r="J25" s="344">
        <f t="shared" ref="J25:J36" si="6">I25/12</f>
        <v>7083.333333333333</v>
      </c>
      <c r="N25" s="273">
        <f t="shared" ref="N25:N36" si="7">SUM(E25)+(F25*3)*1.03</f>
        <v>94140.800000000003</v>
      </c>
    </row>
    <row r="26" spans="1:14" x14ac:dyDescent="0.3">
      <c r="A26" s="293" t="s">
        <v>274</v>
      </c>
      <c r="B26" s="293">
        <v>3</v>
      </c>
      <c r="C26" s="295">
        <f>1081.32+5327</f>
        <v>6408.32</v>
      </c>
      <c r="D26" s="295">
        <v>2200.1898666666666</v>
      </c>
      <c r="E26" s="295">
        <v>4811</v>
      </c>
      <c r="F26" s="295">
        <f t="shared" ref="F26:F35" si="8">E26/9</f>
        <v>534.55555555555554</v>
      </c>
      <c r="G26" s="295"/>
      <c r="H26" s="343">
        <v>0</v>
      </c>
      <c r="I26" s="343">
        <v>8030</v>
      </c>
      <c r="J26" s="344">
        <f t="shared" si="6"/>
        <v>669.16666666666663</v>
      </c>
      <c r="N26" s="273">
        <f t="shared" si="7"/>
        <v>6462.7766666666666</v>
      </c>
    </row>
    <row r="27" spans="1:14" x14ac:dyDescent="0.3">
      <c r="A27" s="293" t="s">
        <v>275</v>
      </c>
      <c r="B27" s="293"/>
      <c r="C27" s="295">
        <v>0</v>
      </c>
      <c r="D27" s="295">
        <v>2200.08</v>
      </c>
      <c r="E27" s="295">
        <v>5884</v>
      </c>
      <c r="F27" s="295">
        <f t="shared" si="8"/>
        <v>653.77777777777783</v>
      </c>
      <c r="G27" s="295"/>
      <c r="H27" s="343">
        <v>0</v>
      </c>
      <c r="I27" s="343">
        <v>12410</v>
      </c>
      <c r="J27" s="344">
        <f t="shared" si="6"/>
        <v>1034.1666666666667</v>
      </c>
      <c r="N27" s="273">
        <f t="shared" si="7"/>
        <v>7904.1733333333341</v>
      </c>
    </row>
    <row r="28" spans="1:14" x14ac:dyDescent="0.3">
      <c r="A28" s="293" t="s">
        <v>40</v>
      </c>
      <c r="B28" s="293">
        <v>3</v>
      </c>
      <c r="C28" s="295">
        <f>571.92+11</f>
        <v>582.91999999999996</v>
      </c>
      <c r="D28" s="295">
        <v>200.13586666666663</v>
      </c>
      <c r="E28" s="295">
        <v>0</v>
      </c>
      <c r="F28" s="295">
        <f t="shared" si="8"/>
        <v>0</v>
      </c>
      <c r="G28" s="295"/>
      <c r="H28" s="343">
        <v>0</v>
      </c>
      <c r="I28" s="343">
        <v>450</v>
      </c>
      <c r="J28" s="344">
        <f t="shared" si="6"/>
        <v>37.5</v>
      </c>
      <c r="N28" s="273">
        <f t="shared" si="7"/>
        <v>0</v>
      </c>
    </row>
    <row r="29" spans="1:14" x14ac:dyDescent="0.3">
      <c r="A29" s="293" t="s">
        <v>41</v>
      </c>
      <c r="B29" s="293">
        <v>3</v>
      </c>
      <c r="C29" s="295">
        <f>2158.4-3</f>
        <v>2155.4</v>
      </c>
      <c r="D29" s="295">
        <v>740.02066666666667</v>
      </c>
      <c r="E29" s="295">
        <v>599</v>
      </c>
      <c r="F29" s="295">
        <f t="shared" si="8"/>
        <v>66.555555555555557</v>
      </c>
      <c r="G29" s="295"/>
      <c r="H29" s="343">
        <v>0</v>
      </c>
      <c r="I29" s="343">
        <v>700</v>
      </c>
      <c r="J29" s="344">
        <f t="shared" si="6"/>
        <v>58.333333333333336</v>
      </c>
      <c r="N29" s="273">
        <f t="shared" si="7"/>
        <v>804.65666666666675</v>
      </c>
    </row>
    <row r="30" spans="1:14" hidden="1" x14ac:dyDescent="0.3">
      <c r="A30" s="293" t="s">
        <v>277</v>
      </c>
      <c r="B30" s="293"/>
      <c r="C30" s="295"/>
      <c r="D30" s="295">
        <v>0</v>
      </c>
      <c r="E30" s="295">
        <f t="shared" ref="E30" si="9">D30/12</f>
        <v>0</v>
      </c>
      <c r="F30" s="295">
        <f t="shared" si="8"/>
        <v>0</v>
      </c>
      <c r="G30" s="295"/>
      <c r="H30" s="343">
        <v>0</v>
      </c>
      <c r="I30" s="343">
        <v>0</v>
      </c>
      <c r="J30" s="344">
        <f t="shared" si="6"/>
        <v>0</v>
      </c>
      <c r="N30" s="273">
        <f t="shared" si="7"/>
        <v>0</v>
      </c>
    </row>
    <row r="31" spans="1:14" x14ac:dyDescent="0.3">
      <c r="A31" s="293" t="s">
        <v>43</v>
      </c>
      <c r="B31" s="293">
        <v>3</v>
      </c>
      <c r="C31" s="295">
        <f>903.26+1427</f>
        <v>2330.2600000000002</v>
      </c>
      <c r="D31" s="295">
        <v>800.05593333333343</v>
      </c>
      <c r="E31" s="295">
        <v>1224</v>
      </c>
      <c r="F31" s="295">
        <f t="shared" si="8"/>
        <v>136</v>
      </c>
      <c r="G31" s="295"/>
      <c r="H31" s="343">
        <v>23.302600000000002</v>
      </c>
      <c r="I31" s="343">
        <v>1640</v>
      </c>
      <c r="J31" s="344">
        <f t="shared" si="6"/>
        <v>136.66666666666666</v>
      </c>
      <c r="N31" s="273">
        <f t="shared" si="7"/>
        <v>1644.24</v>
      </c>
    </row>
    <row r="32" spans="1:14" ht="39" x14ac:dyDescent="0.3">
      <c r="A32" s="293" t="s">
        <v>278</v>
      </c>
      <c r="B32" s="293">
        <v>3</v>
      </c>
      <c r="C32" s="295">
        <f>5733.33+1315</f>
        <v>7048.33</v>
      </c>
      <c r="D32" s="295">
        <v>2419.926633333333</v>
      </c>
      <c r="E32" s="295">
        <v>1750</v>
      </c>
      <c r="F32" s="295">
        <f t="shared" si="8"/>
        <v>194.44444444444446</v>
      </c>
      <c r="G32" s="295"/>
      <c r="H32" s="343">
        <v>70.483299999999986</v>
      </c>
      <c r="I32" s="343">
        <f>2350+2000</f>
        <v>4350</v>
      </c>
      <c r="J32" s="344">
        <f t="shared" si="6"/>
        <v>362.5</v>
      </c>
      <c r="K32" s="279" t="s">
        <v>643</v>
      </c>
      <c r="N32" s="273">
        <f t="shared" si="7"/>
        <v>2350.8333333333335</v>
      </c>
    </row>
    <row r="33" spans="1:14" x14ac:dyDescent="0.3">
      <c r="A33" s="293" t="s">
        <v>254</v>
      </c>
      <c r="B33" s="293">
        <v>3</v>
      </c>
      <c r="C33" s="295">
        <f>3603.21+620</f>
        <v>4223.21</v>
      </c>
      <c r="D33" s="295">
        <v>1449.9687666666666</v>
      </c>
      <c r="E33" s="295">
        <v>1235</v>
      </c>
      <c r="F33" s="295">
        <f t="shared" si="8"/>
        <v>137.22222222222223</v>
      </c>
      <c r="G33" s="295"/>
      <c r="H33" s="343">
        <v>42.232099999999996</v>
      </c>
      <c r="I33" s="343">
        <f>1590+180</f>
        <v>1770</v>
      </c>
      <c r="J33" s="344">
        <f t="shared" si="6"/>
        <v>147.5</v>
      </c>
      <c r="N33" s="273">
        <f t="shared" si="7"/>
        <v>1659.0166666666667</v>
      </c>
    </row>
    <row r="34" spans="1:14" x14ac:dyDescent="0.3">
      <c r="A34" s="293" t="s">
        <v>279</v>
      </c>
      <c r="B34" s="293">
        <v>3</v>
      </c>
      <c r="C34" s="295">
        <f>5738.53+3231</f>
        <v>8969.5299999999988</v>
      </c>
      <c r="D34" s="295">
        <v>3079.5386333333327</v>
      </c>
      <c r="E34" s="295">
        <v>1970</v>
      </c>
      <c r="F34" s="295">
        <f t="shared" si="8"/>
        <v>218.88888888888889</v>
      </c>
      <c r="G34" s="295"/>
      <c r="H34" s="343">
        <v>89.695299999999975</v>
      </c>
      <c r="I34" s="343">
        <v>2650</v>
      </c>
      <c r="J34" s="344">
        <f t="shared" si="6"/>
        <v>220.83333333333334</v>
      </c>
      <c r="N34" s="273">
        <f t="shared" si="7"/>
        <v>2646.3666666666668</v>
      </c>
    </row>
    <row r="35" spans="1:14" x14ac:dyDescent="0.3">
      <c r="A35" s="293" t="s">
        <v>280</v>
      </c>
      <c r="B35" s="293">
        <v>3</v>
      </c>
      <c r="C35" s="295">
        <f>19.26+11</f>
        <v>30.26</v>
      </c>
      <c r="D35" s="295">
        <v>10.389266666666668</v>
      </c>
      <c r="E35" s="295">
        <v>31</v>
      </c>
      <c r="F35" s="295">
        <f t="shared" si="8"/>
        <v>3.4444444444444446</v>
      </c>
      <c r="G35" s="295"/>
      <c r="H35" s="343">
        <v>0.30260000000000004</v>
      </c>
      <c r="I35" s="343">
        <v>10</v>
      </c>
      <c r="J35" s="344">
        <f t="shared" si="6"/>
        <v>0.83333333333333337</v>
      </c>
      <c r="N35" s="273">
        <f t="shared" si="7"/>
        <v>41.643333333333331</v>
      </c>
    </row>
    <row r="36" spans="1:14" x14ac:dyDescent="0.3">
      <c r="A36" s="293" t="s">
        <v>281</v>
      </c>
      <c r="B36" s="293">
        <v>3</v>
      </c>
      <c r="C36" s="300">
        <f>215645.56+270005</f>
        <v>485650.56</v>
      </c>
      <c r="D36" s="300">
        <v>138980</v>
      </c>
      <c r="E36" s="300">
        <v>52147</v>
      </c>
      <c r="F36" s="300">
        <f>E36/9</f>
        <v>5794.1111111111113</v>
      </c>
      <c r="G36" s="295"/>
      <c r="H36" s="341">
        <v>4856.5055999999995</v>
      </c>
      <c r="I36" s="341">
        <v>155000</v>
      </c>
      <c r="J36" s="342">
        <f t="shared" si="6"/>
        <v>12916.666666666666</v>
      </c>
      <c r="N36" s="273">
        <f t="shared" si="7"/>
        <v>70050.803333333344</v>
      </c>
    </row>
    <row r="37" spans="1:14" x14ac:dyDescent="0.3">
      <c r="A37" s="304" t="s">
        <v>88</v>
      </c>
      <c r="B37" s="293"/>
      <c r="C37" s="295">
        <f>SUM(C25:C36)</f>
        <v>816582.99</v>
      </c>
      <c r="D37" s="295">
        <f>SUM(D25:D36)</f>
        <v>254800.21429999999</v>
      </c>
      <c r="E37" s="295">
        <f>SUM(E25:E36)</f>
        <v>139731</v>
      </c>
      <c r="F37" s="295">
        <f>SUM(F25:F36)</f>
        <v>15525.666666666668</v>
      </c>
      <c r="G37" s="295"/>
      <c r="H37" s="348">
        <v>8229.9098999999987</v>
      </c>
      <c r="I37" s="348">
        <f>SUM(I25:I36)</f>
        <v>272010</v>
      </c>
      <c r="J37" s="349">
        <f>SUM(J25:J36)</f>
        <v>22667.5</v>
      </c>
    </row>
    <row r="38" spans="1:14" x14ac:dyDescent="0.3">
      <c r="A38" s="304"/>
      <c r="B38" s="293"/>
      <c r="C38" s="295"/>
      <c r="D38" s="295"/>
      <c r="E38" s="295"/>
      <c r="F38" s="295"/>
      <c r="G38" s="295"/>
      <c r="H38" s="348"/>
      <c r="I38" s="348"/>
      <c r="J38" s="349"/>
    </row>
    <row r="39" spans="1:14" x14ac:dyDescent="0.3">
      <c r="A39" s="304" t="s">
        <v>456</v>
      </c>
      <c r="B39" s="293"/>
      <c r="C39" s="295"/>
      <c r="D39" s="295"/>
      <c r="E39" s="295"/>
      <c r="F39" s="295"/>
      <c r="G39" s="295"/>
      <c r="H39" s="348"/>
      <c r="I39" s="348"/>
      <c r="J39" s="350"/>
    </row>
    <row r="40" spans="1:14" x14ac:dyDescent="0.3">
      <c r="A40" s="293" t="s">
        <v>282</v>
      </c>
      <c r="B40" s="293">
        <v>3</v>
      </c>
      <c r="C40" s="295">
        <v>640</v>
      </c>
      <c r="D40" s="295">
        <v>219.73333333333335</v>
      </c>
      <c r="E40" s="295">
        <v>0</v>
      </c>
      <c r="F40" s="295">
        <f>E40/9</f>
        <v>0</v>
      </c>
      <c r="G40" s="295"/>
      <c r="H40" s="343">
        <v>6.4</v>
      </c>
      <c r="I40" s="343">
        <v>30000</v>
      </c>
      <c r="J40" s="344">
        <f t="shared" ref="J40:J45" si="10">I40/12</f>
        <v>2500</v>
      </c>
      <c r="K40" s="279" t="s">
        <v>620</v>
      </c>
      <c r="N40" s="273">
        <f t="shared" ref="N40:N45" si="11">SUM(E40)+(F40*3)*1.03</f>
        <v>0</v>
      </c>
    </row>
    <row r="41" spans="1:14" x14ac:dyDescent="0.3">
      <c r="A41" s="293" t="s">
        <v>283</v>
      </c>
      <c r="B41" s="293">
        <v>3</v>
      </c>
      <c r="C41" s="295">
        <f>96751.49+163142</f>
        <v>259893.49</v>
      </c>
      <c r="D41" s="295">
        <v>32140</v>
      </c>
      <c r="E41" s="295">
        <v>0</v>
      </c>
      <c r="F41" s="295">
        <f t="shared" ref="F41:F44" si="12">E41/9</f>
        <v>0</v>
      </c>
      <c r="G41" s="295"/>
      <c r="H41" s="343">
        <v>2598.9348999999997</v>
      </c>
      <c r="I41" s="343">
        <v>0</v>
      </c>
      <c r="J41" s="344">
        <f t="shared" si="10"/>
        <v>0</v>
      </c>
      <c r="N41" s="273">
        <f t="shared" si="11"/>
        <v>0</v>
      </c>
    </row>
    <row r="42" spans="1:14" x14ac:dyDescent="0.3">
      <c r="A42" s="293" t="s">
        <v>621</v>
      </c>
      <c r="B42" s="293">
        <v>3</v>
      </c>
      <c r="C42" s="295">
        <f>114851.62+17003</f>
        <v>131854.62</v>
      </c>
      <c r="D42" s="295">
        <v>45270.086199999998</v>
      </c>
      <c r="E42" s="295">
        <v>39121</v>
      </c>
      <c r="F42" s="295">
        <f t="shared" si="12"/>
        <v>4346.7777777777774</v>
      </c>
      <c r="G42" s="295"/>
      <c r="H42" s="343">
        <v>1318.5462</v>
      </c>
      <c r="I42" s="343">
        <v>43950</v>
      </c>
      <c r="J42" s="344">
        <f t="shared" si="10"/>
        <v>3662.5</v>
      </c>
      <c r="N42" s="273">
        <f t="shared" si="11"/>
        <v>52552.543333333335</v>
      </c>
    </row>
    <row r="43" spans="1:14" x14ac:dyDescent="0.3">
      <c r="A43" s="293" t="s">
        <v>284</v>
      </c>
      <c r="B43" s="293">
        <v>3</v>
      </c>
      <c r="C43" s="295">
        <f>94483.03+731</f>
        <v>95214.03</v>
      </c>
      <c r="D43" s="295">
        <v>22690</v>
      </c>
      <c r="E43" s="295">
        <v>0</v>
      </c>
      <c r="F43" s="295">
        <f t="shared" si="12"/>
        <v>0</v>
      </c>
      <c r="G43" s="295"/>
      <c r="H43" s="343">
        <v>952.14029999999991</v>
      </c>
      <c r="I43" s="343">
        <v>0</v>
      </c>
      <c r="J43" s="344">
        <f t="shared" si="10"/>
        <v>0</v>
      </c>
      <c r="N43" s="273">
        <f t="shared" si="11"/>
        <v>0</v>
      </c>
    </row>
    <row r="44" spans="1:14" x14ac:dyDescent="0.3">
      <c r="A44" s="293" t="s">
        <v>567</v>
      </c>
      <c r="B44" s="293"/>
      <c r="C44" s="295"/>
      <c r="D44" s="295">
        <v>77090</v>
      </c>
      <c r="E44" s="295">
        <v>70627</v>
      </c>
      <c r="F44" s="295">
        <f t="shared" si="12"/>
        <v>7847.4444444444443</v>
      </c>
      <c r="G44" s="295"/>
      <c r="H44" s="343"/>
      <c r="I44" s="343">
        <v>59200</v>
      </c>
      <c r="J44" s="344">
        <f t="shared" si="10"/>
        <v>4933.333333333333</v>
      </c>
      <c r="N44" s="273">
        <f t="shared" si="11"/>
        <v>94875.603333333333</v>
      </c>
    </row>
    <row r="45" spans="1:14" x14ac:dyDescent="0.3">
      <c r="A45" s="293" t="s">
        <v>285</v>
      </c>
      <c r="B45" s="293">
        <v>3</v>
      </c>
      <c r="C45" s="295">
        <f>C42</f>
        <v>131854.62</v>
      </c>
      <c r="D45" s="300">
        <v>35270</v>
      </c>
      <c r="E45" s="300">
        <v>39702</v>
      </c>
      <c r="F45" s="300">
        <f>E45/9</f>
        <v>4411.333333333333</v>
      </c>
      <c r="G45" s="295"/>
      <c r="H45" s="341">
        <v>1318.5462</v>
      </c>
      <c r="I45" s="341">
        <v>67920</v>
      </c>
      <c r="J45" s="342">
        <f t="shared" si="10"/>
        <v>5660</v>
      </c>
      <c r="N45" s="273">
        <f t="shared" si="11"/>
        <v>53333.020000000004</v>
      </c>
    </row>
    <row r="46" spans="1:14" x14ac:dyDescent="0.3">
      <c r="A46" s="304" t="s">
        <v>91</v>
      </c>
      <c r="B46" s="293"/>
      <c r="C46" s="295">
        <f t="shared" ref="C46:E46" si="13">SUM(C40:C45)</f>
        <v>619456.76</v>
      </c>
      <c r="D46" s="295">
        <f t="shared" si="13"/>
        <v>212679.81953333333</v>
      </c>
      <c r="E46" s="295">
        <f t="shared" si="13"/>
        <v>149450</v>
      </c>
      <c r="F46" s="295">
        <f>SUM(F40:F45)</f>
        <v>16605.555555555555</v>
      </c>
      <c r="G46" s="295"/>
      <c r="H46" s="351">
        <v>6194.5675999999994</v>
      </c>
      <c r="I46" s="348">
        <f>SUM(I40:I45)</f>
        <v>201070</v>
      </c>
      <c r="J46" s="349">
        <f>SUM(J40:J45)</f>
        <v>16755.833333333332</v>
      </c>
    </row>
    <row r="47" spans="1:14" x14ac:dyDescent="0.3">
      <c r="A47" s="304"/>
      <c r="B47" s="293"/>
      <c r="C47" s="295"/>
      <c r="D47" s="295"/>
      <c r="E47" s="295"/>
      <c r="F47" s="295"/>
      <c r="G47" s="295"/>
      <c r="H47" s="351"/>
      <c r="I47" s="348"/>
      <c r="J47" s="349"/>
    </row>
    <row r="48" spans="1:14" x14ac:dyDescent="0.3">
      <c r="A48" s="304" t="s">
        <v>457</v>
      </c>
      <c r="B48" s="293"/>
      <c r="C48" s="352"/>
      <c r="D48" s="352"/>
      <c r="E48" s="352"/>
      <c r="F48" s="352"/>
      <c r="G48" s="352"/>
      <c r="H48" s="348"/>
      <c r="I48" s="343"/>
      <c r="J48" s="350"/>
      <c r="K48" s="353"/>
    </row>
    <row r="49" spans="1:14" x14ac:dyDescent="0.3">
      <c r="A49" s="293" t="s">
        <v>42</v>
      </c>
      <c r="B49" s="293">
        <v>3</v>
      </c>
      <c r="C49" s="295">
        <f>22589.69+2491</f>
        <v>25080.69</v>
      </c>
      <c r="D49" s="295">
        <v>8999.7875949999998</v>
      </c>
      <c r="E49" s="295">
        <v>5318</v>
      </c>
      <c r="F49" s="295">
        <f>E49/9</f>
        <v>590.88888888888891</v>
      </c>
      <c r="G49" s="295"/>
      <c r="H49" s="343">
        <v>639.55759499999999</v>
      </c>
      <c r="I49" s="343">
        <v>6500</v>
      </c>
      <c r="J49" s="344">
        <f t="shared" ref="J49:J56" si="14">I49/12</f>
        <v>541.66666666666663</v>
      </c>
      <c r="K49" s="279" t="s">
        <v>427</v>
      </c>
      <c r="M49" s="325">
        <v>7.6499999999999999E-2</v>
      </c>
      <c r="N49" s="273">
        <f>SUM(I25)*7.65%</f>
        <v>6502.5</v>
      </c>
    </row>
    <row r="50" spans="1:14" x14ac:dyDescent="0.3">
      <c r="A50" s="293" t="s">
        <v>286</v>
      </c>
      <c r="B50" s="293">
        <v>3</v>
      </c>
      <c r="C50" s="295">
        <f>81.38+3</f>
        <v>84.38</v>
      </c>
      <c r="D50" s="295">
        <v>30.278356666666664</v>
      </c>
      <c r="E50" s="295">
        <v>375</v>
      </c>
      <c r="F50" s="295">
        <f t="shared" ref="F50:F55" si="15">E50/9</f>
        <v>41.666666666666664</v>
      </c>
      <c r="G50" s="285"/>
      <c r="H50" s="343">
        <v>2.1516899999999999</v>
      </c>
      <c r="I50" s="343">
        <v>610</v>
      </c>
      <c r="J50" s="344">
        <f t="shared" si="14"/>
        <v>50.833333333333336</v>
      </c>
      <c r="K50" s="279" t="s">
        <v>427</v>
      </c>
      <c r="N50" s="273">
        <f t="shared" ref="N50:N51" si="16">SUM(I26)*7.65%</f>
        <v>614.29499999999996</v>
      </c>
    </row>
    <row r="51" spans="1:14" x14ac:dyDescent="0.3">
      <c r="A51" s="293" t="s">
        <v>287</v>
      </c>
      <c r="B51" s="293">
        <v>3</v>
      </c>
      <c r="C51" s="295">
        <f>81.38+3</f>
        <v>84.38</v>
      </c>
      <c r="D51" s="295">
        <v>30.278356666666664</v>
      </c>
      <c r="E51" s="295">
        <v>468</v>
      </c>
      <c r="F51" s="295">
        <f t="shared" si="15"/>
        <v>52</v>
      </c>
      <c r="G51" s="285"/>
      <c r="H51" s="343">
        <v>2.1516899999999999</v>
      </c>
      <c r="I51" s="343">
        <v>950</v>
      </c>
      <c r="J51" s="344">
        <f t="shared" si="14"/>
        <v>79.166666666666671</v>
      </c>
      <c r="K51" s="279" t="s">
        <v>427</v>
      </c>
      <c r="N51" s="273">
        <f t="shared" si="16"/>
        <v>949.36500000000001</v>
      </c>
    </row>
    <row r="52" spans="1:14" x14ac:dyDescent="0.3">
      <c r="A52" s="293" t="s">
        <v>59</v>
      </c>
      <c r="B52" s="293">
        <v>3</v>
      </c>
      <c r="C52" s="295">
        <f>84002.07-9671</f>
        <v>74331.070000000007</v>
      </c>
      <c r="D52" s="295">
        <v>32210.130333333334</v>
      </c>
      <c r="E52" s="295">
        <v>18664</v>
      </c>
      <c r="F52" s="295">
        <f t="shared" si="15"/>
        <v>2073.7777777777778</v>
      </c>
      <c r="G52" s="285"/>
      <c r="H52" s="343">
        <v>7433.107</v>
      </c>
      <c r="I52" s="343">
        <v>25500</v>
      </c>
      <c r="J52" s="344">
        <f t="shared" si="14"/>
        <v>2125</v>
      </c>
      <c r="K52" s="279" t="s">
        <v>424</v>
      </c>
      <c r="M52" s="354">
        <v>0.3</v>
      </c>
      <c r="N52" s="273">
        <f>SUM(I25)*0.3</f>
        <v>25500</v>
      </c>
    </row>
    <row r="53" spans="1:14" x14ac:dyDescent="0.3">
      <c r="A53" s="293" t="s">
        <v>288</v>
      </c>
      <c r="B53" s="293">
        <v>3</v>
      </c>
      <c r="C53" s="295">
        <f>325.56+89</f>
        <v>414.56</v>
      </c>
      <c r="D53" s="295">
        <v>179.64266666666666</v>
      </c>
      <c r="E53" s="295">
        <v>1294</v>
      </c>
      <c r="F53" s="295">
        <f t="shared" si="15"/>
        <v>143.77777777777777</v>
      </c>
      <c r="G53" s="285"/>
      <c r="H53" s="343">
        <v>41.455999999999996</v>
      </c>
      <c r="I53" s="343">
        <v>2410</v>
      </c>
      <c r="J53" s="344">
        <f t="shared" si="14"/>
        <v>200.83333333333334</v>
      </c>
      <c r="K53" s="279" t="s">
        <v>424</v>
      </c>
      <c r="N53" s="273">
        <f t="shared" ref="N53:N54" si="17">SUM(I26)*0.3</f>
        <v>2409</v>
      </c>
    </row>
    <row r="54" spans="1:14" x14ac:dyDescent="0.3">
      <c r="A54" s="293" t="s">
        <v>289</v>
      </c>
      <c r="B54" s="293">
        <v>3</v>
      </c>
      <c r="C54" s="295">
        <f>325.56+89</f>
        <v>414.56</v>
      </c>
      <c r="D54" s="295">
        <v>179.64266666666666</v>
      </c>
      <c r="E54" s="295">
        <v>1588</v>
      </c>
      <c r="F54" s="295">
        <f t="shared" si="15"/>
        <v>176.44444444444446</v>
      </c>
      <c r="G54" s="295"/>
      <c r="H54" s="343">
        <v>41.455999999999996</v>
      </c>
      <c r="I54" s="343">
        <v>3720</v>
      </c>
      <c r="J54" s="344">
        <f t="shared" si="14"/>
        <v>310</v>
      </c>
      <c r="K54" s="279" t="s">
        <v>424</v>
      </c>
      <c r="N54" s="273">
        <f t="shared" si="17"/>
        <v>3723</v>
      </c>
    </row>
    <row r="55" spans="1:14" x14ac:dyDescent="0.3">
      <c r="A55" s="293" t="s">
        <v>232</v>
      </c>
      <c r="B55" s="293">
        <v>3</v>
      </c>
      <c r="C55" s="295">
        <f>2784.88+12</f>
        <v>2796.88</v>
      </c>
      <c r="D55" s="295">
        <v>960.2621333333334</v>
      </c>
      <c r="E55" s="295">
        <v>2170</v>
      </c>
      <c r="F55" s="295">
        <f t="shared" si="15"/>
        <v>241.11111111111111</v>
      </c>
      <c r="G55" s="295"/>
      <c r="H55" s="343">
        <v>27.968800000000002</v>
      </c>
      <c r="I55" s="343">
        <v>2980</v>
      </c>
      <c r="J55" s="344">
        <f t="shared" si="14"/>
        <v>248.33333333333334</v>
      </c>
      <c r="K55" s="279" t="s">
        <v>640</v>
      </c>
      <c r="N55" s="273">
        <f>SUM((E55+(F55*3))*1.03)</f>
        <v>2980.1333333333337</v>
      </c>
    </row>
    <row r="56" spans="1:14" x14ac:dyDescent="0.3">
      <c r="A56" s="293" t="s">
        <v>62</v>
      </c>
      <c r="B56" s="293">
        <v>3</v>
      </c>
      <c r="C56" s="300">
        <f>2806.36+106</f>
        <v>2912.36</v>
      </c>
      <c r="D56" s="300">
        <v>999.91026666666676</v>
      </c>
      <c r="E56" s="300">
        <v>418</v>
      </c>
      <c r="F56" s="300">
        <f>E56/9</f>
        <v>46.444444444444443</v>
      </c>
      <c r="G56" s="295"/>
      <c r="H56" s="341">
        <v>29.1236</v>
      </c>
      <c r="I56" s="341">
        <v>560</v>
      </c>
      <c r="J56" s="342">
        <f t="shared" si="14"/>
        <v>46.666666666666664</v>
      </c>
      <c r="K56" s="279" t="s">
        <v>262</v>
      </c>
    </row>
    <row r="57" spans="1:14" x14ac:dyDescent="0.3">
      <c r="A57" s="304" t="s">
        <v>92</v>
      </c>
      <c r="B57" s="293"/>
      <c r="C57" s="295">
        <f>SUM(C49:C56)</f>
        <v>106118.88</v>
      </c>
      <c r="D57" s="295">
        <f t="shared" ref="D57:E57" si="18">SUM(D49:D56)</f>
        <v>43589.932374999997</v>
      </c>
      <c r="E57" s="295">
        <f t="shared" si="18"/>
        <v>30295</v>
      </c>
      <c r="F57" s="295">
        <f>SUM(F49:F56)</f>
        <v>3366.1111111111113</v>
      </c>
      <c r="G57" s="295"/>
      <c r="H57" s="348">
        <v>1061.1888000000001</v>
      </c>
      <c r="I57" s="348">
        <f>SUM(I49:I56)</f>
        <v>43230</v>
      </c>
      <c r="J57" s="349">
        <f>SUM(J49:J56)</f>
        <v>3602.5</v>
      </c>
    </row>
    <row r="58" spans="1:14" x14ac:dyDescent="0.3">
      <c r="A58" s="304"/>
      <c r="B58" s="293"/>
      <c r="C58" s="352"/>
      <c r="D58" s="352"/>
      <c r="E58" s="352"/>
      <c r="F58" s="352"/>
      <c r="G58" s="352"/>
      <c r="H58" s="348"/>
      <c r="I58" s="343"/>
      <c r="J58" s="350"/>
    </row>
    <row r="59" spans="1:14" hidden="1" x14ac:dyDescent="0.3">
      <c r="A59" s="293" t="s">
        <v>234</v>
      </c>
      <c r="B59" s="293">
        <v>3</v>
      </c>
      <c r="C59" s="295">
        <v>0</v>
      </c>
      <c r="D59" s="295">
        <f t="shared" ref="D59:D60" si="19">C59/3</f>
        <v>0</v>
      </c>
      <c r="E59" s="295">
        <f t="shared" ref="E59:E60" si="20">D59/12</f>
        <v>0</v>
      </c>
      <c r="F59" s="295"/>
      <c r="G59" s="295"/>
      <c r="H59" s="343">
        <v>0</v>
      </c>
      <c r="I59" s="343">
        <v>0</v>
      </c>
      <c r="J59" s="344">
        <v>0</v>
      </c>
    </row>
    <row r="60" spans="1:14" hidden="1" x14ac:dyDescent="0.3">
      <c r="A60" s="293" t="s">
        <v>64</v>
      </c>
      <c r="B60" s="293">
        <v>3</v>
      </c>
      <c r="C60" s="295">
        <v>0</v>
      </c>
      <c r="D60" s="295">
        <f t="shared" si="19"/>
        <v>0</v>
      </c>
      <c r="E60" s="295">
        <f t="shared" si="20"/>
        <v>0</v>
      </c>
      <c r="F60" s="295"/>
      <c r="G60" s="295"/>
      <c r="H60" s="343">
        <v>0</v>
      </c>
      <c r="I60" s="343"/>
      <c r="J60" s="344">
        <v>0</v>
      </c>
    </row>
    <row r="61" spans="1:14" x14ac:dyDescent="0.3">
      <c r="A61" s="304" t="s">
        <v>458</v>
      </c>
      <c r="B61" s="293"/>
      <c r="C61" s="295"/>
      <c r="D61" s="295"/>
      <c r="E61" s="295"/>
      <c r="F61" s="295"/>
      <c r="G61" s="295"/>
      <c r="H61" s="343"/>
      <c r="I61" s="343"/>
      <c r="J61" s="344"/>
    </row>
    <row r="62" spans="1:14" x14ac:dyDescent="0.3">
      <c r="A62" s="293" t="s">
        <v>65</v>
      </c>
      <c r="B62" s="293">
        <v>3</v>
      </c>
      <c r="C62" s="300">
        <v>4369</v>
      </c>
      <c r="D62" s="300">
        <v>1500</v>
      </c>
      <c r="E62" s="300">
        <v>0</v>
      </c>
      <c r="F62" s="300">
        <f>E62/9</f>
        <v>0</v>
      </c>
      <c r="G62" s="295"/>
      <c r="H62" s="341">
        <v>0</v>
      </c>
      <c r="I62" s="341">
        <v>0</v>
      </c>
      <c r="J62" s="342">
        <f t="shared" ref="J62" si="21">I62/12</f>
        <v>0</v>
      </c>
      <c r="K62" s="273" t="s">
        <v>641</v>
      </c>
    </row>
    <row r="63" spans="1:14" ht="20.25" thickBot="1" x14ac:dyDescent="0.35">
      <c r="A63" s="304" t="s">
        <v>94</v>
      </c>
      <c r="B63" s="293">
        <v>3</v>
      </c>
      <c r="C63" s="295">
        <f>SUM(C59:C62)</f>
        <v>4369</v>
      </c>
      <c r="D63" s="295">
        <f t="shared" ref="D63:E63" si="22">SUM(D59:D62)</f>
        <v>1500</v>
      </c>
      <c r="E63" s="295">
        <f t="shared" si="22"/>
        <v>0</v>
      </c>
      <c r="F63" s="295">
        <f>SUM(F62)</f>
        <v>0</v>
      </c>
      <c r="G63" s="295"/>
      <c r="H63" s="326">
        <v>0</v>
      </c>
      <c r="I63" s="326">
        <f>SUM(I62)</f>
        <v>0</v>
      </c>
      <c r="J63" s="327">
        <f>SUM(J62)</f>
        <v>0</v>
      </c>
    </row>
    <row r="70" spans="9:9" x14ac:dyDescent="0.3">
      <c r="I70" s="328"/>
    </row>
    <row r="74" spans="9:9" hidden="1" x14ac:dyDescent="0.3"/>
    <row r="75" spans="9:9" hidden="1" x14ac:dyDescent="0.3"/>
    <row r="84" spans="9:9" x14ac:dyDescent="0.3">
      <c r="I84" s="273">
        <v>6460</v>
      </c>
    </row>
  </sheetData>
  <pageMargins left="0.7" right="0.32" top="1.22" bottom="1.51" header="0.3" footer="1.06"/>
  <pageSetup scale="45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99"/>
  <sheetViews>
    <sheetView zoomScale="80" zoomScaleNormal="80" workbookViewId="0">
      <pane xSplit="3" ySplit="4" topLeftCell="D56" activePane="bottomRight" state="frozen"/>
      <selection activeCell="I38" sqref="I38"/>
      <selection pane="topRight" activeCell="I38" sqref="I38"/>
      <selection pane="bottomLeft" activeCell="I38" sqref="I38"/>
      <selection pane="bottomRight" activeCell="F94" sqref="F94"/>
    </sheetView>
  </sheetViews>
  <sheetFormatPr defaultRowHeight="19.5" x14ac:dyDescent="0.3"/>
  <cols>
    <col min="1" max="1" width="50.5703125" style="273" bestFit="1" customWidth="1"/>
    <col min="2" max="2" width="9.140625" style="273" hidden="1" customWidth="1"/>
    <col min="3" max="3" width="11.140625" style="273" hidden="1" customWidth="1"/>
    <col min="4" max="4" width="17" style="273" bestFit="1" customWidth="1"/>
    <col min="5" max="5" width="18.5703125" style="273" bestFit="1" customWidth="1"/>
    <col min="6" max="6" width="13" style="273" bestFit="1" customWidth="1"/>
    <col min="7" max="7" width="3.85546875" style="273" customWidth="1"/>
    <col min="8" max="8" width="9.28515625" style="273" hidden="1" customWidth="1"/>
    <col min="9" max="9" width="31.85546875" style="273" customWidth="1"/>
    <col min="10" max="10" width="13.140625" style="273" bestFit="1" customWidth="1"/>
    <col min="11" max="11" width="69.140625" style="273" customWidth="1"/>
    <col min="12" max="12" width="12.140625" style="273" bestFit="1" customWidth="1"/>
    <col min="13" max="13" width="9.140625" style="273"/>
    <col min="14" max="14" width="13.42578125" style="273" bestFit="1" customWidth="1"/>
    <col min="15" max="16384" width="9.140625" style="273"/>
  </cols>
  <sheetData>
    <row r="1" spans="1:14" x14ac:dyDescent="0.3">
      <c r="I1" s="274" t="str">
        <f>'Green Ridge'!I1</f>
        <v>Projected Annual Budget 2016</v>
      </c>
      <c r="J1" s="275"/>
      <c r="K1" s="276"/>
    </row>
    <row r="2" spans="1:14" x14ac:dyDescent="0.3">
      <c r="I2" s="277" t="s">
        <v>395</v>
      </c>
      <c r="J2" s="278"/>
      <c r="K2" s="279" t="s">
        <v>588</v>
      </c>
    </row>
    <row r="3" spans="1:14" ht="20.25" thickBot="1" x14ac:dyDescent="0.35">
      <c r="A3" s="280" t="s">
        <v>483</v>
      </c>
      <c r="D3" s="280"/>
      <c r="I3" s="286"/>
      <c r="J3" s="278"/>
      <c r="K3" s="282"/>
    </row>
    <row r="4" spans="1:14" s="291" customFormat="1" ht="59.25" thickBot="1" x14ac:dyDescent="0.35">
      <c r="A4" s="283" t="s">
        <v>77</v>
      </c>
      <c r="B4" s="283" t="s">
        <v>78</v>
      </c>
      <c r="C4" s="283" t="s">
        <v>79</v>
      </c>
      <c r="D4" s="284" t="str">
        <f>'Green Ridge'!D4</f>
        <v>2015 Annual Budget</v>
      </c>
      <c r="E4" s="284" t="str">
        <f>'Green Ridge'!E4</f>
        <v>YTD Actual FY 2015 @ 9/30/15</v>
      </c>
      <c r="F4" s="284" t="str">
        <f>'Green Ridge'!F4</f>
        <v>FY 2015 - 9 month Avg</v>
      </c>
      <c r="G4" s="285"/>
      <c r="H4" s="286"/>
      <c r="I4" s="287" t="s">
        <v>430</v>
      </c>
      <c r="J4" s="288" t="s">
        <v>431</v>
      </c>
      <c r="K4" s="289"/>
      <c r="L4" s="355"/>
      <c r="M4" s="355"/>
      <c r="N4" s="355"/>
    </row>
    <row r="5" spans="1:14" s="355" customFormat="1" x14ac:dyDescent="0.3">
      <c r="A5" s="293" t="s">
        <v>33</v>
      </c>
      <c r="B5" s="294"/>
      <c r="C5" s="295">
        <v>-2276069</v>
      </c>
      <c r="D5" s="285">
        <v>-1028320</v>
      </c>
      <c r="E5" s="285">
        <v>-818654</v>
      </c>
      <c r="F5" s="285">
        <f>E5/9</f>
        <v>-90961.555555555562</v>
      </c>
      <c r="G5" s="285"/>
      <c r="H5" s="356">
        <v>0</v>
      </c>
      <c r="I5" s="357">
        <v>-1099725</v>
      </c>
      <c r="J5" s="297">
        <f>I5/12</f>
        <v>-91643.75</v>
      </c>
      <c r="K5" s="358"/>
      <c r="L5" s="355">
        <f t="shared" ref="L5:L6" si="0">SUM(E5)+(F5*3)*1.03</f>
        <v>-1099725.2066666665</v>
      </c>
    </row>
    <row r="6" spans="1:14" x14ac:dyDescent="0.3">
      <c r="A6" s="293" t="s">
        <v>216</v>
      </c>
      <c r="B6" s="293">
        <v>3</v>
      </c>
      <c r="C6" s="295">
        <f>-97989.17-109971</f>
        <v>-207960.16999999998</v>
      </c>
      <c r="D6" s="285">
        <v>-81350</v>
      </c>
      <c r="E6" s="285">
        <v>-22913</v>
      </c>
      <c r="F6" s="285">
        <f t="shared" ref="F6:F13" si="1">E6/9</f>
        <v>-2545.8888888888887</v>
      </c>
      <c r="G6" s="285"/>
      <c r="H6" s="296">
        <v>0</v>
      </c>
      <c r="I6" s="357">
        <v>-30780</v>
      </c>
      <c r="J6" s="297">
        <f t="shared" ref="J6:J14" si="2">I6/12</f>
        <v>-2565</v>
      </c>
      <c r="L6" s="273">
        <f t="shared" si="0"/>
        <v>-30779.796666666665</v>
      </c>
      <c r="N6" s="280" t="s">
        <v>80</v>
      </c>
    </row>
    <row r="7" spans="1:14" x14ac:dyDescent="0.3">
      <c r="A7" s="293" t="s">
        <v>34</v>
      </c>
      <c r="B7" s="293">
        <v>3</v>
      </c>
      <c r="C7" s="295">
        <f>120147.92-56653</f>
        <v>63494.92</v>
      </c>
      <c r="D7" s="285">
        <v>20040</v>
      </c>
      <c r="E7" s="285">
        <v>24435</v>
      </c>
      <c r="F7" s="285">
        <f t="shared" si="1"/>
        <v>2715</v>
      </c>
      <c r="G7" s="285"/>
      <c r="H7" s="296">
        <v>0</v>
      </c>
      <c r="I7" s="357">
        <v>22000</v>
      </c>
      <c r="J7" s="297">
        <f t="shared" si="2"/>
        <v>1833.3333333333333</v>
      </c>
      <c r="K7" s="273" t="s">
        <v>555</v>
      </c>
      <c r="L7" s="273">
        <f>SUM(I5)*0.02</f>
        <v>-21994.5</v>
      </c>
      <c r="N7" s="358">
        <v>0.05</v>
      </c>
    </row>
    <row r="8" spans="1:14" x14ac:dyDescent="0.3">
      <c r="A8" s="293" t="s">
        <v>360</v>
      </c>
      <c r="B8" s="293">
        <v>3</v>
      </c>
      <c r="C8" s="295">
        <v>-233.18333333333334</v>
      </c>
      <c r="D8" s="285">
        <v>-110</v>
      </c>
      <c r="E8" s="285">
        <v>-168</v>
      </c>
      <c r="F8" s="285">
        <f t="shared" si="1"/>
        <v>-18.666666666666668</v>
      </c>
      <c r="G8" s="285"/>
      <c r="H8" s="296">
        <v>0</v>
      </c>
      <c r="I8" s="357">
        <v>-220</v>
      </c>
      <c r="J8" s="297">
        <f t="shared" si="2"/>
        <v>-18.333333333333332</v>
      </c>
      <c r="L8" s="273">
        <f t="shared" ref="L8:L14" si="3">SUM(E8)+(F8*3)*1.03</f>
        <v>-225.68</v>
      </c>
      <c r="N8" s="280" t="s">
        <v>396</v>
      </c>
    </row>
    <row r="9" spans="1:14" x14ac:dyDescent="0.3">
      <c r="A9" s="293" t="s">
        <v>36</v>
      </c>
      <c r="B9" s="293">
        <v>3</v>
      </c>
      <c r="C9" s="295">
        <f>-51149.69+3121</f>
        <v>-48028.69</v>
      </c>
      <c r="D9" s="285">
        <v>-21060</v>
      </c>
      <c r="E9" s="285">
        <v>-18963</v>
      </c>
      <c r="F9" s="285">
        <f t="shared" si="1"/>
        <v>-2107</v>
      </c>
      <c r="G9" s="285"/>
      <c r="H9" s="296">
        <v>-610</v>
      </c>
      <c r="I9" s="357">
        <v>-25470</v>
      </c>
      <c r="J9" s="297">
        <f t="shared" si="2"/>
        <v>-2122.5</v>
      </c>
      <c r="L9" s="273">
        <f t="shared" si="3"/>
        <v>-25473.63</v>
      </c>
      <c r="N9" s="358">
        <v>0.03</v>
      </c>
    </row>
    <row r="10" spans="1:14" x14ac:dyDescent="0.3">
      <c r="A10" s="293" t="s">
        <v>37</v>
      </c>
      <c r="B10" s="293">
        <v>3</v>
      </c>
      <c r="C10" s="295">
        <f>-24480.27+887</f>
        <v>-23593.27</v>
      </c>
      <c r="D10" s="285">
        <v>-10140</v>
      </c>
      <c r="E10" s="285">
        <v>-6772</v>
      </c>
      <c r="F10" s="285">
        <f t="shared" si="1"/>
        <v>-752.44444444444446</v>
      </c>
      <c r="G10" s="285"/>
      <c r="H10" s="296">
        <v>-300</v>
      </c>
      <c r="I10" s="357">
        <v>-9100</v>
      </c>
      <c r="J10" s="297">
        <f t="shared" si="2"/>
        <v>-758.33333333333337</v>
      </c>
      <c r="L10" s="273">
        <f t="shared" si="3"/>
        <v>-9097.0533333333333</v>
      </c>
    </row>
    <row r="11" spans="1:14" x14ac:dyDescent="0.3">
      <c r="A11" s="293" t="s">
        <v>218</v>
      </c>
      <c r="B11" s="293"/>
      <c r="C11" s="295"/>
      <c r="D11" s="285">
        <v>0</v>
      </c>
      <c r="E11" s="285">
        <v>-1151</v>
      </c>
      <c r="F11" s="285">
        <f t="shared" si="1"/>
        <v>-127.88888888888889</v>
      </c>
      <c r="G11" s="285"/>
      <c r="H11" s="296"/>
      <c r="I11" s="357">
        <v>-1550</v>
      </c>
      <c r="J11" s="297">
        <f t="shared" si="2"/>
        <v>-129.16666666666666</v>
      </c>
      <c r="L11" s="273">
        <f t="shared" si="3"/>
        <v>-1546.1766666666667</v>
      </c>
    </row>
    <row r="12" spans="1:14" x14ac:dyDescent="0.3">
      <c r="A12" s="293" t="s">
        <v>301</v>
      </c>
      <c r="B12" s="293">
        <v>3</v>
      </c>
      <c r="C12" s="295">
        <f>-1225-901</f>
        <v>-2126</v>
      </c>
      <c r="D12" s="285">
        <v>-910</v>
      </c>
      <c r="E12" s="285">
        <v>-1200</v>
      </c>
      <c r="F12" s="285">
        <f t="shared" si="1"/>
        <v>-133.33333333333334</v>
      </c>
      <c r="G12" s="285"/>
      <c r="H12" s="296">
        <f t="shared" ref="H12:H13" si="4">D12*$N$9</f>
        <v>-27.3</v>
      </c>
      <c r="I12" s="357">
        <v>-1610</v>
      </c>
      <c r="J12" s="297">
        <f t="shared" si="2"/>
        <v>-134.16666666666666</v>
      </c>
      <c r="L12" s="273">
        <f t="shared" si="3"/>
        <v>-1612</v>
      </c>
    </row>
    <row r="13" spans="1:14" x14ac:dyDescent="0.3">
      <c r="A13" s="293" t="s">
        <v>361</v>
      </c>
      <c r="B13" s="293">
        <v>3</v>
      </c>
      <c r="C13" s="295">
        <v>-211368.97666666668</v>
      </c>
      <c r="D13" s="285">
        <v>-6800</v>
      </c>
      <c r="E13" s="285">
        <v>-16064</v>
      </c>
      <c r="F13" s="285">
        <f t="shared" si="1"/>
        <v>-1784.8888888888889</v>
      </c>
      <c r="G13" s="285"/>
      <c r="H13" s="296">
        <f t="shared" si="4"/>
        <v>-204</v>
      </c>
      <c r="I13" s="357">
        <v>-6800</v>
      </c>
      <c r="J13" s="297">
        <f t="shared" si="2"/>
        <v>-566.66666666666663</v>
      </c>
      <c r="K13" s="273" t="s">
        <v>632</v>
      </c>
      <c r="L13" s="273">
        <f t="shared" si="3"/>
        <v>-21579.306666666667</v>
      </c>
    </row>
    <row r="14" spans="1:14" x14ac:dyDescent="0.3">
      <c r="A14" s="293" t="s">
        <v>362</v>
      </c>
      <c r="B14" s="293">
        <v>3</v>
      </c>
      <c r="C14" s="300">
        <f>4270+5021</f>
        <v>9291</v>
      </c>
      <c r="D14" s="301">
        <v>4490</v>
      </c>
      <c r="E14" s="301">
        <v>3225</v>
      </c>
      <c r="F14" s="301">
        <f>E14/9</f>
        <v>358.33333333333331</v>
      </c>
      <c r="G14" s="285"/>
      <c r="H14" s="302">
        <v>0</v>
      </c>
      <c r="I14" s="359">
        <v>4330</v>
      </c>
      <c r="J14" s="360">
        <f t="shared" si="2"/>
        <v>360.83333333333331</v>
      </c>
      <c r="L14" s="273">
        <f t="shared" si="3"/>
        <v>4332.25</v>
      </c>
    </row>
    <row r="15" spans="1:14" x14ac:dyDescent="0.3">
      <c r="A15" s="304" t="s">
        <v>81</v>
      </c>
      <c r="B15" s="293"/>
      <c r="C15" s="295">
        <f t="shared" ref="C15:J15" si="5">SUM(C5:C14)</f>
        <v>-2696593.3699999996</v>
      </c>
      <c r="D15" s="285">
        <f t="shared" si="5"/>
        <v>-1124160</v>
      </c>
      <c r="E15" s="285">
        <f t="shared" si="5"/>
        <v>-858225</v>
      </c>
      <c r="F15" s="285">
        <f>SUM(F5:F14)</f>
        <v>-95358.333333333343</v>
      </c>
      <c r="G15" s="285"/>
      <c r="H15" s="296">
        <f t="shared" si="5"/>
        <v>-1141.3</v>
      </c>
      <c r="I15" s="296">
        <f t="shared" si="5"/>
        <v>-1148925</v>
      </c>
      <c r="J15" s="297">
        <f t="shared" si="5"/>
        <v>-95743.750000000015</v>
      </c>
    </row>
    <row r="16" spans="1:14" x14ac:dyDescent="0.3">
      <c r="A16" s="293"/>
      <c r="B16" s="293"/>
      <c r="C16" s="295"/>
      <c r="D16" s="285"/>
      <c r="E16" s="285"/>
      <c r="F16" s="285"/>
      <c r="G16" s="285"/>
      <c r="H16" s="296"/>
      <c r="I16" s="296"/>
      <c r="J16" s="297"/>
    </row>
    <row r="17" spans="1:12" x14ac:dyDescent="0.3">
      <c r="A17" s="293" t="s">
        <v>82</v>
      </c>
      <c r="B17" s="293"/>
      <c r="C17" s="295">
        <f>C46</f>
        <v>483544.3</v>
      </c>
      <c r="D17" s="285">
        <f t="shared" ref="D17:E17" si="6">D46</f>
        <v>170190</v>
      </c>
      <c r="E17" s="361">
        <f t="shared" si="6"/>
        <v>126469</v>
      </c>
      <c r="F17" s="285">
        <f>E17/9</f>
        <v>14052.111111111111</v>
      </c>
      <c r="G17" s="285"/>
      <c r="H17" s="296">
        <f>H46</f>
        <v>6229.7</v>
      </c>
      <c r="I17" s="296">
        <f t="shared" ref="I17:J17" si="7">I46</f>
        <v>167730</v>
      </c>
      <c r="J17" s="297">
        <f t="shared" si="7"/>
        <v>13977.499999999998</v>
      </c>
    </row>
    <row r="18" spans="1:12" x14ac:dyDescent="0.3">
      <c r="A18" s="293" t="s">
        <v>90</v>
      </c>
      <c r="B18" s="293"/>
      <c r="C18" s="295">
        <f>C53</f>
        <v>654710.09</v>
      </c>
      <c r="D18" s="285">
        <f t="shared" ref="D18:E18" si="8">D53</f>
        <v>226280</v>
      </c>
      <c r="E18" s="285">
        <f t="shared" si="8"/>
        <v>146922</v>
      </c>
      <c r="F18" s="285">
        <f t="shared" ref="F18:F22" si="9">E18/9</f>
        <v>16324.666666666666</v>
      </c>
      <c r="G18" s="285"/>
      <c r="H18" s="296">
        <f>H53</f>
        <v>14071.2</v>
      </c>
      <c r="I18" s="296">
        <f t="shared" ref="I18:J18" si="10">I53</f>
        <v>203990</v>
      </c>
      <c r="J18" s="297">
        <f t="shared" si="10"/>
        <v>16999.166666666668</v>
      </c>
      <c r="K18" s="279"/>
    </row>
    <row r="19" spans="1:12" x14ac:dyDescent="0.3">
      <c r="A19" s="293" t="s">
        <v>95</v>
      </c>
      <c r="B19" s="293"/>
      <c r="C19" s="295">
        <f>C69</f>
        <v>650831.32999999996</v>
      </c>
      <c r="D19" s="285">
        <f t="shared" ref="D19:E19" si="11">D69</f>
        <v>217480</v>
      </c>
      <c r="E19" s="285">
        <f t="shared" si="11"/>
        <v>209591</v>
      </c>
      <c r="F19" s="285">
        <f t="shared" si="9"/>
        <v>23287.888888888891</v>
      </c>
      <c r="G19" s="285"/>
      <c r="H19" s="296">
        <f>H69</f>
        <v>15223.600000000002</v>
      </c>
      <c r="I19" s="296">
        <f t="shared" ref="I19:J19" si="12">I69</f>
        <v>298160</v>
      </c>
      <c r="J19" s="297">
        <f t="shared" si="12"/>
        <v>24846.666666666668</v>
      </c>
    </row>
    <row r="20" spans="1:12" x14ac:dyDescent="0.3">
      <c r="A20" s="293" t="s">
        <v>83</v>
      </c>
      <c r="B20" s="293"/>
      <c r="C20" s="295">
        <f>C79</f>
        <v>413605.96333333332</v>
      </c>
      <c r="D20" s="285">
        <f t="shared" ref="D20:E20" si="13">D79</f>
        <v>309360</v>
      </c>
      <c r="E20" s="285">
        <f t="shared" si="13"/>
        <v>261816</v>
      </c>
      <c r="F20" s="285">
        <f t="shared" si="9"/>
        <v>29090.666666666668</v>
      </c>
      <c r="G20" s="285"/>
      <c r="H20" s="296">
        <f>H79</f>
        <v>756583346.19999993</v>
      </c>
      <c r="I20" s="296">
        <f t="shared" ref="I20:J20" si="14">I79</f>
        <v>372638</v>
      </c>
      <c r="J20" s="297">
        <f t="shared" si="14"/>
        <v>31053.166666666664</v>
      </c>
      <c r="K20" s="279"/>
    </row>
    <row r="21" spans="1:12" x14ac:dyDescent="0.3">
      <c r="A21" s="293" t="s">
        <v>302</v>
      </c>
      <c r="B21" s="293"/>
      <c r="C21" s="295">
        <f>C85</f>
        <v>404246.59</v>
      </c>
      <c r="D21" s="285">
        <f t="shared" ref="D21:E21" si="15">D85</f>
        <v>246200</v>
      </c>
      <c r="E21" s="285">
        <f t="shared" si="15"/>
        <v>205176</v>
      </c>
      <c r="F21" s="285">
        <f t="shared" si="9"/>
        <v>22797.333333333332</v>
      </c>
      <c r="G21" s="285"/>
      <c r="H21" s="296">
        <f>H85</f>
        <v>0</v>
      </c>
      <c r="I21" s="296">
        <f t="shared" ref="I21:J21" si="16">I85</f>
        <v>246210</v>
      </c>
      <c r="J21" s="297">
        <f t="shared" si="16"/>
        <v>20517.5</v>
      </c>
      <c r="K21" s="279"/>
    </row>
    <row r="22" spans="1:12" x14ac:dyDescent="0.3">
      <c r="A22" s="293" t="s">
        <v>84</v>
      </c>
      <c r="B22" s="293"/>
      <c r="C22" s="295">
        <f>C89</f>
        <v>9000</v>
      </c>
      <c r="D22" s="285">
        <f t="shared" ref="D22:E22" si="17">D89</f>
        <v>36000</v>
      </c>
      <c r="E22" s="285">
        <f t="shared" si="17"/>
        <v>27000</v>
      </c>
      <c r="F22" s="285">
        <f t="shared" si="9"/>
        <v>3000</v>
      </c>
      <c r="G22" s="285"/>
      <c r="H22" s="296">
        <f>H89</f>
        <v>0</v>
      </c>
      <c r="I22" s="296">
        <f t="shared" ref="I22:J22" si="18">I89</f>
        <v>36000</v>
      </c>
      <c r="J22" s="297">
        <f t="shared" si="18"/>
        <v>3000</v>
      </c>
      <c r="K22" s="307"/>
      <c r="L22" s="308"/>
    </row>
    <row r="23" spans="1:12" x14ac:dyDescent="0.3">
      <c r="A23" s="293" t="s">
        <v>85</v>
      </c>
      <c r="B23" s="293"/>
      <c r="C23" s="300">
        <f>C101</f>
        <v>0</v>
      </c>
      <c r="D23" s="301">
        <f>D98</f>
        <v>66000</v>
      </c>
      <c r="E23" s="301">
        <f>E98</f>
        <v>59036</v>
      </c>
      <c r="F23" s="301">
        <f>E23/9</f>
        <v>6559.5555555555557</v>
      </c>
      <c r="G23" s="285"/>
      <c r="H23" s="302">
        <f>H98</f>
        <v>0</v>
      </c>
      <c r="I23" s="302">
        <f>I98</f>
        <v>24000</v>
      </c>
      <c r="J23" s="360">
        <f>J98</f>
        <v>2000</v>
      </c>
      <c r="K23" s="307"/>
    </row>
    <row r="24" spans="1:12" x14ac:dyDescent="0.3">
      <c r="A24" s="293" t="s">
        <v>86</v>
      </c>
      <c r="B24" s="293"/>
      <c r="C24" s="311">
        <f>SUM(C17:C23)</f>
        <v>2615938.273333333</v>
      </c>
      <c r="D24" s="362">
        <f t="shared" ref="D24:F24" si="19">SUM(D17:D23)</f>
        <v>1271510</v>
      </c>
      <c r="E24" s="362">
        <f t="shared" si="19"/>
        <v>1036010</v>
      </c>
      <c r="F24" s="362">
        <f t="shared" si="19"/>
        <v>115112.22222222223</v>
      </c>
      <c r="G24" s="285"/>
      <c r="H24" s="302">
        <f>SUM(H17:H23)</f>
        <v>756618870.69999993</v>
      </c>
      <c r="I24" s="363">
        <f t="shared" ref="I24:J24" si="20">SUM(I17:I23)</f>
        <v>1348728</v>
      </c>
      <c r="J24" s="364">
        <f t="shared" si="20"/>
        <v>112394</v>
      </c>
      <c r="K24" s="307"/>
    </row>
    <row r="25" spans="1:12" x14ac:dyDescent="0.3">
      <c r="A25" s="293"/>
      <c r="B25" s="293"/>
      <c r="C25" s="295"/>
      <c r="D25" s="285"/>
      <c r="E25" s="285"/>
      <c r="F25" s="285"/>
      <c r="G25" s="285"/>
      <c r="H25" s="296"/>
      <c r="I25" s="296"/>
      <c r="J25" s="297"/>
      <c r="K25" s="307"/>
    </row>
    <row r="26" spans="1:12" ht="20.25" thickBot="1" x14ac:dyDescent="0.35">
      <c r="A26" s="314" t="s">
        <v>87</v>
      </c>
      <c r="B26" s="315"/>
      <c r="C26" s="316">
        <f>SUM(-C15-C24)</f>
        <v>80655.096666666679</v>
      </c>
      <c r="D26" s="317">
        <f>SUM(D15+D24)</f>
        <v>147350</v>
      </c>
      <c r="E26" s="317">
        <f t="shared" ref="E26:F26" si="21">SUM(E15+E24)</f>
        <v>177785</v>
      </c>
      <c r="F26" s="317">
        <f t="shared" si="21"/>
        <v>19753.888888888891</v>
      </c>
      <c r="G26" s="285"/>
      <c r="H26" s="318">
        <f>SUM(-H15-H24)</f>
        <v>-756617729.39999998</v>
      </c>
      <c r="I26" s="318">
        <f>SUM(I15+I24)</f>
        <v>199803</v>
      </c>
      <c r="J26" s="319">
        <f>SUM(J15+J24)</f>
        <v>16650.249999999985</v>
      </c>
      <c r="K26" s="307"/>
    </row>
    <row r="27" spans="1:12" x14ac:dyDescent="0.3">
      <c r="A27" s="304" t="s">
        <v>454</v>
      </c>
      <c r="B27" s="293"/>
      <c r="C27" s="295"/>
      <c r="D27" s="285"/>
      <c r="E27" s="285"/>
      <c r="F27" s="285"/>
      <c r="G27" s="285"/>
      <c r="H27" s="296"/>
      <c r="I27" s="296"/>
      <c r="J27" s="297"/>
      <c r="K27" s="307"/>
    </row>
    <row r="28" spans="1:12" x14ac:dyDescent="0.3">
      <c r="A28" s="293" t="s">
        <v>39</v>
      </c>
      <c r="B28" s="293">
        <v>3</v>
      </c>
      <c r="C28" s="323">
        <f>45472.33+11325</f>
        <v>56797.33</v>
      </c>
      <c r="D28" s="285">
        <v>19500</v>
      </c>
      <c r="E28" s="285">
        <v>14262</v>
      </c>
      <c r="F28" s="285">
        <f>E28/9</f>
        <v>1584.6666666666667</v>
      </c>
      <c r="G28" s="285"/>
      <c r="H28" s="296">
        <f>D28*$N$9</f>
        <v>585</v>
      </c>
      <c r="I28" s="296">
        <v>19160</v>
      </c>
      <c r="J28" s="297">
        <f t="shared" ref="J28:J45" si="22">I28/12</f>
        <v>1596.6666666666667</v>
      </c>
      <c r="K28" s="279" t="s">
        <v>449</v>
      </c>
      <c r="L28" s="273">
        <f t="shared" ref="L28:L45" si="23">SUM(E28)+(F28*3)*1.03</f>
        <v>19158.62</v>
      </c>
    </row>
    <row r="29" spans="1:12" x14ac:dyDescent="0.3">
      <c r="A29" s="293" t="s">
        <v>40</v>
      </c>
      <c r="B29" s="293">
        <v>3</v>
      </c>
      <c r="C29" s="323">
        <f>6775.15-3223</f>
        <v>3552.1499999999996</v>
      </c>
      <c r="D29" s="295">
        <v>2440</v>
      </c>
      <c r="E29" s="295">
        <v>467</v>
      </c>
      <c r="F29" s="285">
        <f t="shared" ref="F29:F44" si="24">E29/9</f>
        <v>51.888888888888886</v>
      </c>
      <c r="G29" s="295"/>
      <c r="H29" s="305">
        <f>D29*$N$9</f>
        <v>73.2</v>
      </c>
      <c r="I29" s="305">
        <v>630</v>
      </c>
      <c r="J29" s="306">
        <f t="shared" si="22"/>
        <v>52.5</v>
      </c>
      <c r="L29" s="273">
        <f t="shared" si="23"/>
        <v>627.3366666666667</v>
      </c>
    </row>
    <row r="30" spans="1:12" hidden="1" x14ac:dyDescent="0.3">
      <c r="A30" s="293" t="s">
        <v>41</v>
      </c>
      <c r="B30" s="293">
        <v>3</v>
      </c>
      <c r="C30" s="295">
        <f>280+187</f>
        <v>467</v>
      </c>
      <c r="D30" s="295">
        <v>0</v>
      </c>
      <c r="E30" s="295">
        <v>0</v>
      </c>
      <c r="F30" s="285">
        <f t="shared" si="24"/>
        <v>0</v>
      </c>
      <c r="G30" s="295"/>
      <c r="H30" s="305">
        <f>D30*$M$9</f>
        <v>0</v>
      </c>
      <c r="I30" s="305">
        <v>0</v>
      </c>
      <c r="J30" s="306">
        <f t="shared" si="22"/>
        <v>0</v>
      </c>
      <c r="L30" s="273">
        <f t="shared" si="23"/>
        <v>0</v>
      </c>
    </row>
    <row r="31" spans="1:12" x14ac:dyDescent="0.3">
      <c r="A31" s="293" t="s">
        <v>323</v>
      </c>
      <c r="B31" s="293">
        <v>3</v>
      </c>
      <c r="C31" s="323">
        <f>133+1616</f>
        <v>1749</v>
      </c>
      <c r="D31" s="295">
        <v>600</v>
      </c>
      <c r="E31" s="295">
        <v>390</v>
      </c>
      <c r="F31" s="285">
        <f t="shared" si="24"/>
        <v>43.333333333333336</v>
      </c>
      <c r="G31" s="295"/>
      <c r="H31" s="305">
        <f>D31*$N$9</f>
        <v>18</v>
      </c>
      <c r="I31" s="305">
        <v>520</v>
      </c>
      <c r="J31" s="306">
        <f t="shared" si="22"/>
        <v>43.333333333333336</v>
      </c>
      <c r="L31" s="273">
        <f t="shared" si="23"/>
        <v>523.9</v>
      </c>
    </row>
    <row r="32" spans="1:12" x14ac:dyDescent="0.3">
      <c r="A32" s="293" t="s">
        <v>432</v>
      </c>
      <c r="B32" s="293">
        <v>3</v>
      </c>
      <c r="C32" s="323">
        <f>491+6033</f>
        <v>6524</v>
      </c>
      <c r="D32" s="295">
        <v>1680</v>
      </c>
      <c r="E32" s="295">
        <v>2078</v>
      </c>
      <c r="F32" s="285">
        <f t="shared" si="24"/>
        <v>230.88888888888889</v>
      </c>
      <c r="G32" s="295"/>
      <c r="H32" s="305">
        <f>D32*$N$9</f>
        <v>50.4</v>
      </c>
      <c r="I32" s="305">
        <v>2800</v>
      </c>
      <c r="J32" s="306">
        <f t="shared" si="22"/>
        <v>233.33333333333334</v>
      </c>
      <c r="L32" s="273">
        <f t="shared" si="23"/>
        <v>2791.4466666666667</v>
      </c>
    </row>
    <row r="33" spans="1:12" x14ac:dyDescent="0.3">
      <c r="A33" s="293" t="s">
        <v>363</v>
      </c>
      <c r="B33" s="293">
        <v>3</v>
      </c>
      <c r="C33" s="323">
        <f>107556.04+40015</f>
        <v>147571.03999999998</v>
      </c>
      <c r="D33" s="295">
        <v>56200</v>
      </c>
      <c r="E33" s="295">
        <v>42894</v>
      </c>
      <c r="F33" s="285">
        <f t="shared" si="24"/>
        <v>4766</v>
      </c>
      <c r="G33" s="295"/>
      <c r="H33" s="305">
        <f>D33*$N$7</f>
        <v>2810</v>
      </c>
      <c r="I33" s="305">
        <v>57430</v>
      </c>
      <c r="J33" s="306">
        <f t="shared" si="22"/>
        <v>4785.833333333333</v>
      </c>
      <c r="K33" s="321" t="s">
        <v>639</v>
      </c>
      <c r="L33" s="273">
        <f>(I15-I8)*(1)*0.05</f>
        <v>-57435.25</v>
      </c>
    </row>
    <row r="34" spans="1:12" x14ac:dyDescent="0.3">
      <c r="A34" s="293" t="s">
        <v>364</v>
      </c>
      <c r="B34" s="293">
        <v>3</v>
      </c>
      <c r="C34" s="323">
        <f>730+8330</f>
        <v>9060</v>
      </c>
      <c r="D34" s="295">
        <v>2350</v>
      </c>
      <c r="E34" s="295">
        <v>1770</v>
      </c>
      <c r="F34" s="285">
        <f t="shared" si="24"/>
        <v>196.66666666666666</v>
      </c>
      <c r="G34" s="295"/>
      <c r="H34" s="305">
        <f t="shared" ref="H34:H45" si="25">D34*$N$9</f>
        <v>70.5</v>
      </c>
      <c r="I34" s="305">
        <v>2380</v>
      </c>
      <c r="J34" s="306">
        <f t="shared" si="22"/>
        <v>198.33333333333334</v>
      </c>
      <c r="L34" s="273">
        <f t="shared" si="23"/>
        <v>2377.6999999999998</v>
      </c>
    </row>
    <row r="35" spans="1:12" x14ac:dyDescent="0.3">
      <c r="A35" s="293" t="s">
        <v>568</v>
      </c>
      <c r="B35" s="293"/>
      <c r="C35" s="323"/>
      <c r="D35" s="295">
        <v>0</v>
      </c>
      <c r="E35" s="295">
        <v>672</v>
      </c>
      <c r="F35" s="285">
        <f t="shared" si="24"/>
        <v>74.666666666666671</v>
      </c>
      <c r="G35" s="295"/>
      <c r="H35" s="305"/>
      <c r="I35" s="305">
        <v>900</v>
      </c>
      <c r="J35" s="306">
        <f t="shared" si="22"/>
        <v>75</v>
      </c>
      <c r="L35" s="273">
        <f t="shared" si="23"/>
        <v>902.72</v>
      </c>
    </row>
    <row r="36" spans="1:12" x14ac:dyDescent="0.3">
      <c r="A36" s="293" t="s">
        <v>305</v>
      </c>
      <c r="B36" s="293">
        <v>3</v>
      </c>
      <c r="C36" s="323">
        <f>107379.28+87767</f>
        <v>195146.28</v>
      </c>
      <c r="D36" s="295">
        <v>68380</v>
      </c>
      <c r="E36" s="295">
        <v>44627</v>
      </c>
      <c r="F36" s="285">
        <f t="shared" si="24"/>
        <v>4958.5555555555557</v>
      </c>
      <c r="G36" s="295"/>
      <c r="H36" s="305">
        <f t="shared" si="25"/>
        <v>2051.4</v>
      </c>
      <c r="I36" s="305">
        <v>59950</v>
      </c>
      <c r="J36" s="306">
        <f t="shared" si="22"/>
        <v>4995.833333333333</v>
      </c>
      <c r="L36" s="273">
        <f t="shared" si="23"/>
        <v>59948.936666666668</v>
      </c>
    </row>
    <row r="37" spans="1:12" x14ac:dyDescent="0.3">
      <c r="A37" s="293" t="s">
        <v>223</v>
      </c>
      <c r="B37" s="293">
        <v>3</v>
      </c>
      <c r="C37" s="323">
        <f>29650-25747</f>
        <v>3903</v>
      </c>
      <c r="D37" s="295">
        <v>1120</v>
      </c>
      <c r="E37" s="295">
        <v>1557</v>
      </c>
      <c r="F37" s="285">
        <f t="shared" si="24"/>
        <v>173</v>
      </c>
      <c r="G37" s="295"/>
      <c r="H37" s="305">
        <f t="shared" si="25"/>
        <v>33.6</v>
      </c>
      <c r="I37" s="305">
        <v>2090</v>
      </c>
      <c r="J37" s="306">
        <f t="shared" si="22"/>
        <v>174.16666666666666</v>
      </c>
      <c r="L37" s="273">
        <f t="shared" si="23"/>
        <v>2091.5700000000002</v>
      </c>
    </row>
    <row r="38" spans="1:12" x14ac:dyDescent="0.3">
      <c r="A38" s="293" t="s">
        <v>365</v>
      </c>
      <c r="B38" s="293">
        <v>3</v>
      </c>
      <c r="C38" s="323">
        <f>7406+1333</f>
        <v>8739</v>
      </c>
      <c r="D38" s="295">
        <v>3490</v>
      </c>
      <c r="E38" s="295">
        <v>2129</v>
      </c>
      <c r="F38" s="285">
        <f t="shared" si="24"/>
        <v>236.55555555555554</v>
      </c>
      <c r="G38" s="295"/>
      <c r="H38" s="305">
        <f t="shared" si="25"/>
        <v>104.7</v>
      </c>
      <c r="I38" s="305">
        <v>2860</v>
      </c>
      <c r="J38" s="306">
        <f t="shared" si="22"/>
        <v>238.33333333333334</v>
      </c>
      <c r="L38" s="273">
        <f t="shared" si="23"/>
        <v>2859.9566666666665</v>
      </c>
    </row>
    <row r="39" spans="1:12" x14ac:dyDescent="0.3">
      <c r="A39" s="293" t="s">
        <v>44</v>
      </c>
      <c r="B39" s="293">
        <v>3</v>
      </c>
      <c r="C39" s="323">
        <f>6675.83-851</f>
        <v>5824.83</v>
      </c>
      <c r="D39" s="295">
        <v>2860</v>
      </c>
      <c r="E39" s="295">
        <v>1470</v>
      </c>
      <c r="F39" s="285">
        <f t="shared" si="24"/>
        <v>163.33333333333334</v>
      </c>
      <c r="G39" s="295"/>
      <c r="H39" s="305">
        <f t="shared" si="25"/>
        <v>85.8</v>
      </c>
      <c r="I39" s="305">
        <v>1970</v>
      </c>
      <c r="J39" s="306">
        <f t="shared" si="22"/>
        <v>164.16666666666666</v>
      </c>
      <c r="L39" s="273">
        <f t="shared" si="23"/>
        <v>1974.7</v>
      </c>
    </row>
    <row r="40" spans="1:12" x14ac:dyDescent="0.3">
      <c r="A40" s="293" t="s">
        <v>337</v>
      </c>
      <c r="B40" s="293">
        <v>3</v>
      </c>
      <c r="C40" s="323">
        <v>785</v>
      </c>
      <c r="D40" s="295">
        <v>200</v>
      </c>
      <c r="E40" s="295">
        <v>81</v>
      </c>
      <c r="F40" s="285">
        <f t="shared" si="24"/>
        <v>9</v>
      </c>
      <c r="G40" s="295"/>
      <c r="H40" s="305">
        <f t="shared" si="25"/>
        <v>6</v>
      </c>
      <c r="I40" s="305">
        <v>110</v>
      </c>
      <c r="J40" s="306">
        <f t="shared" si="22"/>
        <v>9.1666666666666661</v>
      </c>
      <c r="L40" s="273">
        <f t="shared" si="23"/>
        <v>108.81</v>
      </c>
    </row>
    <row r="41" spans="1:12" x14ac:dyDescent="0.3">
      <c r="A41" s="293" t="s">
        <v>224</v>
      </c>
      <c r="B41" s="293">
        <v>3</v>
      </c>
      <c r="C41" s="323">
        <v>583</v>
      </c>
      <c r="D41" s="295">
        <v>180</v>
      </c>
      <c r="E41" s="295">
        <v>0</v>
      </c>
      <c r="F41" s="285">
        <f t="shared" si="24"/>
        <v>0</v>
      </c>
      <c r="G41" s="295"/>
      <c r="H41" s="305">
        <f t="shared" si="25"/>
        <v>5.3999999999999995</v>
      </c>
      <c r="I41" s="305">
        <v>180</v>
      </c>
      <c r="J41" s="306">
        <f t="shared" si="22"/>
        <v>15</v>
      </c>
      <c r="L41" s="273">
        <f t="shared" si="23"/>
        <v>0</v>
      </c>
    </row>
    <row r="42" spans="1:12" x14ac:dyDescent="0.3">
      <c r="A42" s="293" t="s">
        <v>45</v>
      </c>
      <c r="B42" s="293">
        <v>3</v>
      </c>
      <c r="C42" s="323">
        <f>1218-693</f>
        <v>525</v>
      </c>
      <c r="D42" s="295">
        <v>240</v>
      </c>
      <c r="E42" s="295">
        <v>4891</v>
      </c>
      <c r="F42" s="285">
        <f t="shared" si="24"/>
        <v>543.44444444444446</v>
      </c>
      <c r="G42" s="295"/>
      <c r="H42" s="305">
        <f t="shared" si="25"/>
        <v>7.1999999999999993</v>
      </c>
      <c r="I42" s="305">
        <f>1520+2900</f>
        <v>4420</v>
      </c>
      <c r="J42" s="306">
        <f t="shared" si="22"/>
        <v>368.33333333333331</v>
      </c>
      <c r="K42" s="279" t="s">
        <v>652</v>
      </c>
      <c r="L42" s="273">
        <f t="shared" si="23"/>
        <v>6570.2433333333338</v>
      </c>
    </row>
    <row r="43" spans="1:12" x14ac:dyDescent="0.3">
      <c r="A43" s="293" t="s">
        <v>254</v>
      </c>
      <c r="B43" s="293">
        <v>3</v>
      </c>
      <c r="C43" s="323">
        <f>21316.67+15324</f>
        <v>36640.67</v>
      </c>
      <c r="D43" s="295">
        <v>9300</v>
      </c>
      <c r="E43" s="295">
        <v>4688</v>
      </c>
      <c r="F43" s="285">
        <f t="shared" si="24"/>
        <v>520.88888888888891</v>
      </c>
      <c r="G43" s="295"/>
      <c r="H43" s="305">
        <f t="shared" si="25"/>
        <v>279</v>
      </c>
      <c r="I43" s="305">
        <v>6300</v>
      </c>
      <c r="J43" s="306">
        <f t="shared" si="22"/>
        <v>525</v>
      </c>
      <c r="L43" s="273">
        <f t="shared" si="23"/>
        <v>6297.5466666666671</v>
      </c>
    </row>
    <row r="44" spans="1:12" x14ac:dyDescent="0.3">
      <c r="A44" s="293" t="s">
        <v>226</v>
      </c>
      <c r="B44" s="293">
        <v>3</v>
      </c>
      <c r="C44" s="323">
        <f>1000+2057</f>
        <v>3057</v>
      </c>
      <c r="D44" s="295">
        <v>1000</v>
      </c>
      <c r="E44" s="295">
        <v>970</v>
      </c>
      <c r="F44" s="285">
        <f t="shared" si="24"/>
        <v>107.77777777777777</v>
      </c>
      <c r="G44" s="295"/>
      <c r="H44" s="305">
        <f t="shared" si="25"/>
        <v>30</v>
      </c>
      <c r="I44" s="305">
        <v>1300</v>
      </c>
      <c r="J44" s="306">
        <f t="shared" si="22"/>
        <v>108.33333333333333</v>
      </c>
      <c r="L44" s="273">
        <f t="shared" si="23"/>
        <v>1303.0333333333333</v>
      </c>
    </row>
    <row r="45" spans="1:12" x14ac:dyDescent="0.3">
      <c r="A45" s="293" t="s">
        <v>46</v>
      </c>
      <c r="B45" s="293">
        <v>3</v>
      </c>
      <c r="C45" s="365">
        <f>1437+1183</f>
        <v>2620</v>
      </c>
      <c r="D45" s="300">
        <v>650</v>
      </c>
      <c r="E45" s="300">
        <v>3523</v>
      </c>
      <c r="F45" s="300">
        <f>E45/9</f>
        <v>391.44444444444446</v>
      </c>
      <c r="G45" s="285"/>
      <c r="H45" s="309">
        <f t="shared" si="25"/>
        <v>19.5</v>
      </c>
      <c r="I45" s="309">
        <v>4730</v>
      </c>
      <c r="J45" s="310">
        <f t="shared" si="22"/>
        <v>394.16666666666669</v>
      </c>
      <c r="L45" s="273">
        <f t="shared" si="23"/>
        <v>4732.5633333333335</v>
      </c>
    </row>
    <row r="46" spans="1:12" x14ac:dyDescent="0.3">
      <c r="A46" s="304" t="s">
        <v>88</v>
      </c>
      <c r="B46" s="293"/>
      <c r="C46" s="295">
        <f t="shared" ref="C46:J46" si="26">SUM(C27:C45)</f>
        <v>483544.3</v>
      </c>
      <c r="D46" s="295">
        <f t="shared" si="26"/>
        <v>170190</v>
      </c>
      <c r="E46" s="295">
        <f t="shared" si="26"/>
        <v>126469</v>
      </c>
      <c r="F46" s="295">
        <f>SUM(F28:F45)</f>
        <v>14052.111111111113</v>
      </c>
      <c r="G46" s="285"/>
      <c r="H46" s="305">
        <f t="shared" si="26"/>
        <v>6229.7</v>
      </c>
      <c r="I46" s="305">
        <f>SUM(I28:I45)</f>
        <v>167730</v>
      </c>
      <c r="J46" s="306">
        <f t="shared" si="26"/>
        <v>13977.499999999998</v>
      </c>
    </row>
    <row r="47" spans="1:12" x14ac:dyDescent="0.3">
      <c r="A47" s="293"/>
      <c r="B47" s="293"/>
      <c r="C47" s="295"/>
      <c r="D47" s="295"/>
      <c r="E47" s="295"/>
      <c r="F47" s="295"/>
      <c r="G47" s="295"/>
      <c r="H47" s="305"/>
      <c r="I47" s="305"/>
      <c r="J47" s="306"/>
    </row>
    <row r="48" spans="1:12" x14ac:dyDescent="0.3">
      <c r="A48" s="304" t="s">
        <v>455</v>
      </c>
      <c r="B48" s="293"/>
      <c r="C48" s="295"/>
      <c r="D48" s="295"/>
      <c r="E48" s="295"/>
      <c r="F48" s="295"/>
      <c r="G48" s="295"/>
      <c r="H48" s="305"/>
      <c r="I48" s="305"/>
      <c r="J48" s="306"/>
    </row>
    <row r="49" spans="1:14" x14ac:dyDescent="0.3">
      <c r="A49" s="293" t="s">
        <v>227</v>
      </c>
      <c r="B49" s="293">
        <v>3</v>
      </c>
      <c r="C49" s="323">
        <f>190826.21+64005</f>
        <v>254831.21</v>
      </c>
      <c r="D49" s="295">
        <v>93760</v>
      </c>
      <c r="E49" s="295">
        <v>61440</v>
      </c>
      <c r="F49" s="295">
        <f>E49/9</f>
        <v>6826.666666666667</v>
      </c>
      <c r="G49" s="295"/>
      <c r="H49" s="305">
        <f>D49*$N$49</f>
        <v>6563.2000000000007</v>
      </c>
      <c r="I49" s="305">
        <v>85120</v>
      </c>
      <c r="J49" s="306">
        <f t="shared" ref="J49:J53" si="27">I49/12</f>
        <v>7093.333333333333</v>
      </c>
      <c r="K49" s="279" t="s">
        <v>530</v>
      </c>
      <c r="N49" s="322">
        <v>7.0000000000000007E-2</v>
      </c>
    </row>
    <row r="50" spans="1:14" x14ac:dyDescent="0.3">
      <c r="A50" s="293" t="s">
        <v>47</v>
      </c>
      <c r="B50" s="293">
        <v>3</v>
      </c>
      <c r="C50" s="323">
        <f>133584.24+47015</f>
        <v>180599.24</v>
      </c>
      <c r="D50" s="295">
        <v>51150</v>
      </c>
      <c r="E50" s="295">
        <v>35715</v>
      </c>
      <c r="F50" s="295">
        <f t="shared" ref="F50:F51" si="28">E50/9</f>
        <v>3968.3333333333335</v>
      </c>
      <c r="G50" s="295"/>
      <c r="H50" s="305">
        <f>D50*$N$50</f>
        <v>2557.5</v>
      </c>
      <c r="I50" s="305">
        <v>49520</v>
      </c>
      <c r="J50" s="306">
        <f t="shared" si="27"/>
        <v>4126.666666666667</v>
      </c>
      <c r="K50" s="279" t="s">
        <v>531</v>
      </c>
      <c r="L50" s="273">
        <f>SUM((E50+(F50*3))*1.04)</f>
        <v>49524.800000000003</v>
      </c>
      <c r="N50" s="322">
        <v>0.05</v>
      </c>
    </row>
    <row r="51" spans="1:14" x14ac:dyDescent="0.3">
      <c r="A51" s="293" t="s">
        <v>48</v>
      </c>
      <c r="B51" s="293">
        <v>3</v>
      </c>
      <c r="C51" s="323">
        <f>93494.6+28357</f>
        <v>121851.6</v>
      </c>
      <c r="D51" s="295">
        <v>44100</v>
      </c>
      <c r="E51" s="295">
        <v>25205</v>
      </c>
      <c r="F51" s="295">
        <f t="shared" si="28"/>
        <v>2800.5555555555557</v>
      </c>
      <c r="G51" s="295"/>
      <c r="H51" s="305">
        <f>D51*$N$51</f>
        <v>3087.0000000000005</v>
      </c>
      <c r="I51" s="305">
        <v>35290</v>
      </c>
      <c r="J51" s="306">
        <f t="shared" si="27"/>
        <v>2940.8333333333335</v>
      </c>
      <c r="K51" s="279" t="s">
        <v>590</v>
      </c>
      <c r="L51" s="273">
        <f>SUM((E51+(F51*3))*1.05)</f>
        <v>35287.000000000007</v>
      </c>
      <c r="N51" s="322">
        <v>7.0000000000000007E-2</v>
      </c>
    </row>
    <row r="52" spans="1:14" x14ac:dyDescent="0.3">
      <c r="A52" s="293" t="s">
        <v>49</v>
      </c>
      <c r="B52" s="293">
        <v>3</v>
      </c>
      <c r="C52" s="365">
        <f>88081.04+9347</f>
        <v>97428.04</v>
      </c>
      <c r="D52" s="300">
        <v>37270</v>
      </c>
      <c r="E52" s="300">
        <v>24562</v>
      </c>
      <c r="F52" s="300">
        <f>E52/9</f>
        <v>2729.1111111111113</v>
      </c>
      <c r="G52" s="285"/>
      <c r="H52" s="309">
        <f>D52*$N$52</f>
        <v>1863.5</v>
      </c>
      <c r="I52" s="309">
        <v>34060</v>
      </c>
      <c r="J52" s="310">
        <f t="shared" si="27"/>
        <v>2838.3333333333335</v>
      </c>
      <c r="K52" s="279" t="s">
        <v>531</v>
      </c>
      <c r="L52" s="273">
        <f>SUM((E52+(F52*3))*1.04)</f>
        <v>34059.306666666671</v>
      </c>
      <c r="N52" s="322">
        <v>0.05</v>
      </c>
    </row>
    <row r="53" spans="1:14" x14ac:dyDescent="0.3">
      <c r="A53" s="304" t="s">
        <v>307</v>
      </c>
      <c r="B53" s="293"/>
      <c r="C53" s="295">
        <f>SUM(C49:C52)</f>
        <v>654710.09</v>
      </c>
      <c r="D53" s="295">
        <f>SUM(D49:D52)</f>
        <v>226280</v>
      </c>
      <c r="E53" s="295">
        <f>SUM(E49:E52)</f>
        <v>146922</v>
      </c>
      <c r="F53" s="295">
        <f>SUM(F49:F52)</f>
        <v>16324.666666666666</v>
      </c>
      <c r="G53" s="285"/>
      <c r="H53" s="305">
        <f>SUM(H49:H52)</f>
        <v>14071.2</v>
      </c>
      <c r="I53" s="305">
        <f>SUM(I49:I52)</f>
        <v>203990</v>
      </c>
      <c r="J53" s="306">
        <f t="shared" si="27"/>
        <v>16999.166666666668</v>
      </c>
      <c r="K53" s="279"/>
    </row>
    <row r="54" spans="1:14" x14ac:dyDescent="0.3">
      <c r="A54" s="293"/>
      <c r="B54" s="293"/>
      <c r="C54" s="295"/>
      <c r="D54" s="295"/>
      <c r="E54" s="295"/>
      <c r="F54" s="295"/>
      <c r="G54" s="295"/>
      <c r="H54" s="305"/>
      <c r="I54" s="305"/>
      <c r="J54" s="306"/>
      <c r="K54" s="279"/>
    </row>
    <row r="55" spans="1:14" x14ac:dyDescent="0.3">
      <c r="A55" s="304" t="s">
        <v>456</v>
      </c>
      <c r="B55" s="293"/>
      <c r="C55" s="295"/>
      <c r="D55" s="295"/>
      <c r="E55" s="295"/>
      <c r="F55" s="295"/>
      <c r="G55" s="295"/>
      <c r="H55" s="305"/>
      <c r="I55" s="305"/>
      <c r="J55" s="306"/>
      <c r="K55" s="279"/>
    </row>
    <row r="56" spans="1:14" x14ac:dyDescent="0.3">
      <c r="A56" s="293" t="s">
        <v>366</v>
      </c>
      <c r="B56" s="293">
        <v>3</v>
      </c>
      <c r="C56" s="323">
        <f>2255+15</f>
        <v>2270</v>
      </c>
      <c r="D56" s="295">
        <v>100</v>
      </c>
      <c r="E56" s="295">
        <v>680</v>
      </c>
      <c r="F56" s="295">
        <f>E56/9</f>
        <v>75.555555555555557</v>
      </c>
      <c r="G56" s="295"/>
      <c r="H56" s="305">
        <f t="shared" ref="H56:H68" si="29">D56*$N$49</f>
        <v>7.0000000000000009</v>
      </c>
      <c r="I56" s="305">
        <v>910</v>
      </c>
      <c r="J56" s="306">
        <f t="shared" ref="J56:J69" si="30">I56/12</f>
        <v>75.833333333333329</v>
      </c>
      <c r="L56" s="273">
        <f>SUM(E56)+(F56*3)*1.03</f>
        <v>913.4666666666667</v>
      </c>
    </row>
    <row r="57" spans="1:14" x14ac:dyDescent="0.3">
      <c r="A57" s="293" t="s">
        <v>367</v>
      </c>
      <c r="B57" s="293">
        <v>3</v>
      </c>
      <c r="C57" s="323">
        <f>45415.52-16341</f>
        <v>29074.519999999997</v>
      </c>
      <c r="D57" s="295">
        <v>10030</v>
      </c>
      <c r="E57" s="295">
        <v>12072</v>
      </c>
      <c r="F57" s="295">
        <f t="shared" ref="F57:F67" si="31">E57/9</f>
        <v>1341.3333333333333</v>
      </c>
      <c r="G57" s="295"/>
      <c r="H57" s="305">
        <f t="shared" si="29"/>
        <v>702.1</v>
      </c>
      <c r="I57" s="305">
        <v>16220</v>
      </c>
      <c r="J57" s="306">
        <f t="shared" si="30"/>
        <v>1351.6666666666667</v>
      </c>
      <c r="L57" s="273">
        <f t="shared" ref="L57:L58" si="32">SUM(E57)+(F57*3)*1.03</f>
        <v>16216.720000000001</v>
      </c>
    </row>
    <row r="58" spans="1:14" x14ac:dyDescent="0.3">
      <c r="A58" s="293" t="s">
        <v>52</v>
      </c>
      <c r="B58" s="293">
        <v>3</v>
      </c>
      <c r="C58" s="323">
        <f>7381.66+12890</f>
        <v>20271.66</v>
      </c>
      <c r="D58" s="295">
        <v>7230</v>
      </c>
      <c r="E58" s="295">
        <v>2600</v>
      </c>
      <c r="F58" s="295">
        <f t="shared" si="31"/>
        <v>288.88888888888891</v>
      </c>
      <c r="G58" s="295"/>
      <c r="H58" s="305">
        <f t="shared" si="29"/>
        <v>506.1</v>
      </c>
      <c r="I58" s="305">
        <v>3490</v>
      </c>
      <c r="J58" s="306">
        <f t="shared" si="30"/>
        <v>290.83333333333331</v>
      </c>
      <c r="L58" s="273">
        <f t="shared" si="32"/>
        <v>3492.666666666667</v>
      </c>
    </row>
    <row r="59" spans="1:14" x14ac:dyDescent="0.3">
      <c r="A59" s="293" t="s">
        <v>347</v>
      </c>
      <c r="B59" s="293">
        <v>3</v>
      </c>
      <c r="C59" s="323">
        <f>35812.54+637</f>
        <v>36449.54</v>
      </c>
      <c r="D59" s="295">
        <v>14000</v>
      </c>
      <c r="E59" s="295">
        <v>10322</v>
      </c>
      <c r="F59" s="295">
        <f t="shared" si="31"/>
        <v>1146.8888888888889</v>
      </c>
      <c r="G59" s="295"/>
      <c r="H59" s="305">
        <f t="shared" si="29"/>
        <v>980.00000000000011</v>
      </c>
      <c r="I59" s="305">
        <v>13900</v>
      </c>
      <c r="J59" s="306">
        <f t="shared" si="30"/>
        <v>1158.3333333333333</v>
      </c>
      <c r="K59" s="279" t="s">
        <v>570</v>
      </c>
      <c r="L59" s="273">
        <f>SUM(E59)+(F59*3)*1.04</f>
        <v>13900.293333333335</v>
      </c>
    </row>
    <row r="60" spans="1:14" x14ac:dyDescent="0.3">
      <c r="A60" s="293" t="s">
        <v>368</v>
      </c>
      <c r="B60" s="293">
        <v>3</v>
      </c>
      <c r="C60" s="323">
        <f>3812.46+10347</f>
        <v>14159.46</v>
      </c>
      <c r="D60" s="295">
        <v>0</v>
      </c>
      <c r="E60" s="295">
        <v>3801</v>
      </c>
      <c r="F60" s="295">
        <f t="shared" si="31"/>
        <v>422.33333333333331</v>
      </c>
      <c r="G60" s="295"/>
      <c r="H60" s="305">
        <v>0</v>
      </c>
      <c r="I60" s="305">
        <v>5120</v>
      </c>
      <c r="J60" s="306">
        <f t="shared" si="30"/>
        <v>426.66666666666669</v>
      </c>
      <c r="K60" s="279"/>
      <c r="L60" s="273">
        <f>SUM(E60)+(F60*3)*1.04</f>
        <v>5118.68</v>
      </c>
    </row>
    <row r="61" spans="1:14" x14ac:dyDescent="0.3">
      <c r="A61" s="293" t="s">
        <v>369</v>
      </c>
      <c r="B61" s="293">
        <v>3</v>
      </c>
      <c r="C61" s="323">
        <f>8256.96+41</f>
        <v>8297.9599999999991</v>
      </c>
      <c r="D61" s="295">
        <v>7320</v>
      </c>
      <c r="E61" s="295">
        <v>5786</v>
      </c>
      <c r="F61" s="295">
        <f t="shared" si="31"/>
        <v>642.88888888888891</v>
      </c>
      <c r="G61" s="295"/>
      <c r="H61" s="305">
        <f t="shared" si="29"/>
        <v>512.40000000000009</v>
      </c>
      <c r="I61" s="305">
        <v>7770</v>
      </c>
      <c r="J61" s="306">
        <f t="shared" si="30"/>
        <v>647.5</v>
      </c>
      <c r="L61" s="273">
        <f t="shared" ref="L61:L68" si="33">SUM(E61)+(F61*3)*1.03</f>
        <v>7772.5266666666666</v>
      </c>
    </row>
    <row r="62" spans="1:14" x14ac:dyDescent="0.3">
      <c r="A62" s="293" t="s">
        <v>370</v>
      </c>
      <c r="B62" s="293">
        <v>3</v>
      </c>
      <c r="C62" s="323">
        <f>23738.31+38</f>
        <v>23776.31</v>
      </c>
      <c r="D62" s="295">
        <v>2610</v>
      </c>
      <c r="E62" s="295">
        <v>5047</v>
      </c>
      <c r="F62" s="295">
        <f t="shared" si="31"/>
        <v>560.77777777777783</v>
      </c>
      <c r="G62" s="295"/>
      <c r="H62" s="305">
        <f t="shared" si="29"/>
        <v>182.70000000000002</v>
      </c>
      <c r="I62" s="305">
        <v>6780</v>
      </c>
      <c r="J62" s="306">
        <f t="shared" si="30"/>
        <v>565</v>
      </c>
      <c r="L62" s="273">
        <f t="shared" si="33"/>
        <v>6779.8033333333333</v>
      </c>
    </row>
    <row r="63" spans="1:14" x14ac:dyDescent="0.3">
      <c r="A63" s="293" t="s">
        <v>56</v>
      </c>
      <c r="B63" s="293">
        <v>3</v>
      </c>
      <c r="C63" s="323">
        <f>164182.73+36003</f>
        <v>200185.73</v>
      </c>
      <c r="D63" s="295">
        <v>53000</v>
      </c>
      <c r="E63" s="295">
        <v>58905</v>
      </c>
      <c r="F63" s="295">
        <f t="shared" si="31"/>
        <v>6545</v>
      </c>
      <c r="G63" s="295"/>
      <c r="H63" s="305">
        <f t="shared" si="29"/>
        <v>3710.0000000000005</v>
      </c>
      <c r="I63" s="305">
        <v>79130</v>
      </c>
      <c r="J63" s="306">
        <f t="shared" si="30"/>
        <v>6594.166666666667</v>
      </c>
      <c r="L63" s="273">
        <f t="shared" si="33"/>
        <v>79129.05</v>
      </c>
    </row>
    <row r="64" spans="1:14" x14ac:dyDescent="0.3">
      <c r="A64" s="293" t="s">
        <v>230</v>
      </c>
      <c r="B64" s="293">
        <v>3</v>
      </c>
      <c r="C64" s="323">
        <f>105129.42+23113</f>
        <v>128242.42</v>
      </c>
      <c r="D64" s="295">
        <v>40620</v>
      </c>
      <c r="E64" s="295">
        <v>32717</v>
      </c>
      <c r="F64" s="295">
        <f t="shared" si="31"/>
        <v>3635.2222222222222</v>
      </c>
      <c r="G64" s="295"/>
      <c r="H64" s="305">
        <f t="shared" si="29"/>
        <v>2843.4</v>
      </c>
      <c r="I64" s="305">
        <v>43950</v>
      </c>
      <c r="J64" s="306">
        <f t="shared" si="30"/>
        <v>3662.5</v>
      </c>
      <c r="L64" s="273">
        <f t="shared" si="33"/>
        <v>43949.83666666667</v>
      </c>
    </row>
    <row r="65" spans="1:14" x14ac:dyDescent="0.3">
      <c r="A65" s="293" t="s">
        <v>371</v>
      </c>
      <c r="B65" s="293">
        <v>3</v>
      </c>
      <c r="C65" s="323">
        <f>150662.86+18347</f>
        <v>169009.86</v>
      </c>
      <c r="D65" s="295">
        <v>66680</v>
      </c>
      <c r="E65" s="295">
        <v>73053</v>
      </c>
      <c r="F65" s="295">
        <f t="shared" si="31"/>
        <v>8117</v>
      </c>
      <c r="G65" s="295"/>
      <c r="H65" s="305">
        <f t="shared" si="29"/>
        <v>4667.6000000000004</v>
      </c>
      <c r="I65" s="305">
        <v>85010</v>
      </c>
      <c r="J65" s="306">
        <f t="shared" si="30"/>
        <v>7084.166666666667</v>
      </c>
      <c r="L65" s="273">
        <f t="shared" si="33"/>
        <v>98134.53</v>
      </c>
    </row>
    <row r="66" spans="1:14" x14ac:dyDescent="0.3">
      <c r="A66" s="293" t="s">
        <v>526</v>
      </c>
      <c r="B66" s="293"/>
      <c r="C66" s="323"/>
      <c r="D66" s="295">
        <v>0</v>
      </c>
      <c r="E66" s="295">
        <v>0</v>
      </c>
      <c r="F66" s="295">
        <f t="shared" si="31"/>
        <v>0</v>
      </c>
      <c r="G66" s="324"/>
      <c r="H66" s="324"/>
      <c r="I66" s="305">
        <v>23000</v>
      </c>
      <c r="J66" s="306">
        <f t="shared" si="30"/>
        <v>1916.6666666666667</v>
      </c>
      <c r="K66" s="279" t="s">
        <v>623</v>
      </c>
      <c r="L66" s="273">
        <f t="shared" si="33"/>
        <v>0</v>
      </c>
    </row>
    <row r="67" spans="1:14" x14ac:dyDescent="0.3">
      <c r="A67" s="293" t="s">
        <v>527</v>
      </c>
      <c r="B67" s="293"/>
      <c r="C67" s="323"/>
      <c r="D67" s="295">
        <v>0</v>
      </c>
      <c r="E67" s="295">
        <v>0</v>
      </c>
      <c r="F67" s="295">
        <f t="shared" si="31"/>
        <v>0</v>
      </c>
      <c r="G67" s="324"/>
      <c r="H67" s="324"/>
      <c r="I67" s="305">
        <v>3000</v>
      </c>
      <c r="J67" s="306">
        <f t="shared" si="30"/>
        <v>250</v>
      </c>
      <c r="K67" s="279" t="s">
        <v>623</v>
      </c>
      <c r="L67" s="273">
        <f t="shared" si="33"/>
        <v>0</v>
      </c>
    </row>
    <row r="68" spans="1:14" x14ac:dyDescent="0.3">
      <c r="A68" s="293" t="s">
        <v>57</v>
      </c>
      <c r="B68" s="293">
        <v>3</v>
      </c>
      <c r="C68" s="365">
        <f>25435.87-6342</f>
        <v>19093.87</v>
      </c>
      <c r="D68" s="300">
        <v>15890</v>
      </c>
      <c r="E68" s="300">
        <v>4608</v>
      </c>
      <c r="F68" s="300">
        <f>E68/9</f>
        <v>512</v>
      </c>
      <c r="G68" s="285"/>
      <c r="H68" s="309">
        <f t="shared" si="29"/>
        <v>1112.3000000000002</v>
      </c>
      <c r="I68" s="309">
        <v>9880</v>
      </c>
      <c r="J68" s="310">
        <f t="shared" si="30"/>
        <v>823.33333333333337</v>
      </c>
      <c r="K68" s="273" t="s">
        <v>655</v>
      </c>
      <c r="L68" s="273">
        <f t="shared" si="33"/>
        <v>6190.08</v>
      </c>
    </row>
    <row r="69" spans="1:14" x14ac:dyDescent="0.3">
      <c r="A69" s="304" t="s">
        <v>91</v>
      </c>
      <c r="B69" s="293"/>
      <c r="C69" s="295">
        <f>SUM(C54:C68)</f>
        <v>650831.32999999996</v>
      </c>
      <c r="D69" s="295">
        <f>SUM(D54:D68)</f>
        <v>217480</v>
      </c>
      <c r="E69" s="295">
        <f>SUM(E54:E68)</f>
        <v>209591</v>
      </c>
      <c r="F69" s="295">
        <f>SUM(F56:F68)</f>
        <v>23287.888888888891</v>
      </c>
      <c r="G69" s="285"/>
      <c r="H69" s="305">
        <f>SUM(H54:H68)</f>
        <v>15223.600000000002</v>
      </c>
      <c r="I69" s="305">
        <f>SUM(I54:I68)</f>
        <v>298160</v>
      </c>
      <c r="J69" s="306">
        <f t="shared" si="30"/>
        <v>24846.666666666668</v>
      </c>
    </row>
    <row r="70" spans="1:14" x14ac:dyDescent="0.3">
      <c r="A70" s="293"/>
      <c r="B70" s="293"/>
      <c r="C70" s="295"/>
      <c r="D70" s="295"/>
      <c r="E70" s="295"/>
      <c r="F70" s="295"/>
      <c r="G70" s="295"/>
      <c r="H70" s="305"/>
      <c r="I70" s="305"/>
      <c r="J70" s="306"/>
    </row>
    <row r="71" spans="1:14" x14ac:dyDescent="0.3">
      <c r="A71" s="304" t="s">
        <v>457</v>
      </c>
      <c r="B71" s="293"/>
      <c r="C71" s="295"/>
      <c r="D71" s="295"/>
      <c r="E71" s="295"/>
      <c r="F71" s="295"/>
      <c r="G71" s="295"/>
      <c r="H71" s="305"/>
      <c r="I71" s="305"/>
      <c r="J71" s="306"/>
    </row>
    <row r="72" spans="1:14" x14ac:dyDescent="0.3">
      <c r="A72" s="293" t="s">
        <v>42</v>
      </c>
      <c r="B72" s="293">
        <v>3</v>
      </c>
      <c r="C72" s="323">
        <f>21432.77+639</f>
        <v>22071.77</v>
      </c>
      <c r="D72" s="295">
        <v>10780</v>
      </c>
      <c r="E72" s="323">
        <v>7714</v>
      </c>
      <c r="F72" s="323">
        <f>E72/9</f>
        <v>857.11111111111109</v>
      </c>
      <c r="G72" s="323"/>
      <c r="H72" s="305">
        <v>0</v>
      </c>
      <c r="I72" s="305">
        <v>12100</v>
      </c>
      <c r="J72" s="306">
        <f t="shared" ref="J72:J78" si="34">I72/12</f>
        <v>1008.3333333333334</v>
      </c>
      <c r="K72" s="279" t="s">
        <v>427</v>
      </c>
      <c r="L72" s="273">
        <f>SUM(I28+I63+I36)*7.65%</f>
        <v>12105.36</v>
      </c>
      <c r="N72" s="325">
        <v>7.6499999999999999E-2</v>
      </c>
    </row>
    <row r="73" spans="1:14" x14ac:dyDescent="0.3">
      <c r="A73" s="293" t="s">
        <v>312</v>
      </c>
      <c r="B73" s="293">
        <v>3</v>
      </c>
      <c r="C73" s="323">
        <f>88062.91+36195</f>
        <v>124257.91</v>
      </c>
      <c r="D73" s="295">
        <v>33170</v>
      </c>
      <c r="E73" s="323">
        <v>32539</v>
      </c>
      <c r="F73" s="323">
        <f>E73/9</f>
        <v>3615.4444444444443</v>
      </c>
      <c r="G73" s="323"/>
      <c r="H73" s="305">
        <f>D73*$N$73</f>
        <v>756582490.79999995</v>
      </c>
      <c r="I73" s="305">
        <v>32860</v>
      </c>
      <c r="J73" s="306">
        <f t="shared" si="34"/>
        <v>2738.3333333333335</v>
      </c>
      <c r="K73" s="279" t="s">
        <v>571</v>
      </c>
      <c r="L73" s="273">
        <f>E73*1.01</f>
        <v>32864.39</v>
      </c>
      <c r="N73" s="322">
        <f>SUM(I69)*7.65%</f>
        <v>22809.239999999998</v>
      </c>
    </row>
    <row r="74" spans="1:14" x14ac:dyDescent="0.3">
      <c r="A74" s="293" t="s">
        <v>59</v>
      </c>
      <c r="B74" s="293">
        <v>3</v>
      </c>
      <c r="C74" s="323">
        <f>41963.76+66983</f>
        <v>108946.76000000001</v>
      </c>
      <c r="D74" s="295">
        <v>42260</v>
      </c>
      <c r="E74" s="323">
        <v>23543</v>
      </c>
      <c r="F74" s="323">
        <f t="shared" ref="F74:F78" si="35">E74/9</f>
        <v>2615.8888888888887</v>
      </c>
      <c r="G74" s="323"/>
      <c r="H74" s="305">
        <v>0</v>
      </c>
      <c r="I74" s="305">
        <v>47470</v>
      </c>
      <c r="J74" s="306">
        <f t="shared" si="34"/>
        <v>3955.8333333333335</v>
      </c>
      <c r="K74" s="279" t="s">
        <v>424</v>
      </c>
      <c r="L74" s="273">
        <f>SUM(I28+I63+I36)*0.3</f>
        <v>47472</v>
      </c>
      <c r="N74" s="322">
        <v>0.3</v>
      </c>
    </row>
    <row r="75" spans="1:14" x14ac:dyDescent="0.3">
      <c r="A75" s="293" t="s">
        <v>372</v>
      </c>
      <c r="B75" s="293">
        <v>3</v>
      </c>
      <c r="C75" s="323">
        <f>6592.01-3</f>
        <v>6589.01</v>
      </c>
      <c r="D75" s="295">
        <v>2140</v>
      </c>
      <c r="E75" s="323">
        <v>2532</v>
      </c>
      <c r="F75" s="323">
        <f t="shared" si="35"/>
        <v>281.33333333333331</v>
      </c>
      <c r="G75" s="323"/>
      <c r="H75" s="305">
        <f>D75*$N$49</f>
        <v>149.80000000000001</v>
      </c>
      <c r="I75" s="305">
        <v>3480</v>
      </c>
      <c r="J75" s="306">
        <f t="shared" si="34"/>
        <v>290</v>
      </c>
      <c r="K75" s="279" t="s">
        <v>640</v>
      </c>
      <c r="L75" s="273">
        <f>SUM((E75+(F75*3))*1.03)</f>
        <v>3477.28</v>
      </c>
      <c r="N75" s="273">
        <f>SUM(I69)*30%</f>
        <v>89448</v>
      </c>
    </row>
    <row r="76" spans="1:14" x14ac:dyDescent="0.3">
      <c r="A76" s="293" t="s">
        <v>373</v>
      </c>
      <c r="B76" s="293">
        <v>3</v>
      </c>
      <c r="C76" s="323">
        <f>21596.35+6665</f>
        <v>28261.35</v>
      </c>
      <c r="D76" s="295">
        <v>10080</v>
      </c>
      <c r="E76" s="323">
        <v>8880</v>
      </c>
      <c r="F76" s="323">
        <f t="shared" si="35"/>
        <v>986.66666666666663</v>
      </c>
      <c r="G76" s="323"/>
      <c r="H76" s="305">
        <f>D76*$N$49</f>
        <v>705.6</v>
      </c>
      <c r="I76" s="305">
        <v>11930</v>
      </c>
      <c r="J76" s="306">
        <f t="shared" si="34"/>
        <v>994.16666666666663</v>
      </c>
      <c r="L76" s="273">
        <f t="shared" ref="L76" si="36">SUM(E76)+(F76*3)*1.03</f>
        <v>11928.8</v>
      </c>
      <c r="N76" s="273">
        <f>SUM((E76+(F76*3))*1.03)</f>
        <v>12195.2</v>
      </c>
    </row>
    <row r="77" spans="1:14" x14ac:dyDescent="0.3">
      <c r="A77" s="293" t="s">
        <v>438</v>
      </c>
      <c r="B77" s="293"/>
      <c r="C77" s="323"/>
      <c r="D77" s="295">
        <v>0</v>
      </c>
      <c r="E77" s="366">
        <v>20634</v>
      </c>
      <c r="F77" s="295">
        <f t="shared" si="35"/>
        <v>2292.6666666666665</v>
      </c>
      <c r="G77" s="323"/>
      <c r="H77" s="305">
        <v>0</v>
      </c>
      <c r="I77" s="305">
        <v>41268</v>
      </c>
      <c r="J77" s="306">
        <f t="shared" si="34"/>
        <v>3439</v>
      </c>
      <c r="K77" s="279" t="s">
        <v>582</v>
      </c>
      <c r="L77" s="273">
        <f t="shared" ref="L77" si="37">SUM(E77)+(F77*3)*1.03</f>
        <v>27718.34</v>
      </c>
    </row>
    <row r="78" spans="1:14" x14ac:dyDescent="0.3">
      <c r="A78" s="293" t="s">
        <v>62</v>
      </c>
      <c r="B78" s="293">
        <v>3</v>
      </c>
      <c r="C78" s="323">
        <v>378755.60333333333</v>
      </c>
      <c r="D78" s="300">
        <v>210930</v>
      </c>
      <c r="E78" s="365">
        <v>165974</v>
      </c>
      <c r="F78" s="365">
        <f t="shared" si="35"/>
        <v>18441.555555555555</v>
      </c>
      <c r="G78" s="285"/>
      <c r="H78" s="309">
        <v>0</v>
      </c>
      <c r="I78" s="309">
        <v>223530</v>
      </c>
      <c r="J78" s="310">
        <f t="shared" si="34"/>
        <v>18627.5</v>
      </c>
      <c r="K78" s="279" t="s">
        <v>262</v>
      </c>
    </row>
    <row r="79" spans="1:14" x14ac:dyDescent="0.3">
      <c r="A79" s="304" t="s">
        <v>92</v>
      </c>
      <c r="B79" s="293"/>
      <c r="C79" s="295">
        <f>SUM(C75:C78)</f>
        <v>413605.96333333332</v>
      </c>
      <c r="D79" s="295">
        <f>SUM(D72:D78)</f>
        <v>309360</v>
      </c>
      <c r="E79" s="295">
        <f>SUM(E72:E78)</f>
        <v>261816</v>
      </c>
      <c r="F79" s="295">
        <f>SUM(F72:F78)</f>
        <v>29090.666666666664</v>
      </c>
      <c r="G79" s="285"/>
      <c r="H79" s="305">
        <f>SUM(H72:H78)</f>
        <v>756583346.19999993</v>
      </c>
      <c r="I79" s="305">
        <f>SUM(I72:I78)</f>
        <v>372638</v>
      </c>
      <c r="J79" s="306">
        <f>SUM(J72:J78)</f>
        <v>31053.166666666664</v>
      </c>
    </row>
    <row r="80" spans="1:14" x14ac:dyDescent="0.3">
      <c r="A80" s="293"/>
      <c r="B80" s="293"/>
      <c r="C80" s="295"/>
      <c r="D80" s="295"/>
      <c r="E80" s="295"/>
      <c r="F80" s="295"/>
      <c r="G80" s="295"/>
      <c r="H80" s="305"/>
      <c r="I80" s="305"/>
      <c r="J80" s="306"/>
    </row>
    <row r="81" spans="1:11" x14ac:dyDescent="0.3">
      <c r="A81" s="304" t="s">
        <v>459</v>
      </c>
      <c r="B81" s="293"/>
      <c r="C81" s="295"/>
      <c r="D81" s="295"/>
      <c r="E81" s="295"/>
      <c r="F81" s="295"/>
      <c r="G81" s="295"/>
      <c r="H81" s="305"/>
      <c r="I81" s="305"/>
      <c r="J81" s="306"/>
    </row>
    <row r="82" spans="1:11" x14ac:dyDescent="0.3">
      <c r="A82" s="293" t="s">
        <v>313</v>
      </c>
      <c r="B82" s="293">
        <v>3</v>
      </c>
      <c r="C82" s="295">
        <v>131228.83333333331</v>
      </c>
      <c r="D82" s="295">
        <v>129000</v>
      </c>
      <c r="E82" s="295">
        <v>107874</v>
      </c>
      <c r="F82" s="295">
        <f>E82/9</f>
        <v>11986</v>
      </c>
      <c r="G82" s="295"/>
      <c r="H82" s="305">
        <v>0</v>
      </c>
      <c r="I82" s="305">
        <v>123620</v>
      </c>
      <c r="J82" s="306">
        <f>I82/12</f>
        <v>10301.666666666666</v>
      </c>
      <c r="K82" s="279" t="s">
        <v>582</v>
      </c>
    </row>
    <row r="83" spans="1:11" hidden="1" x14ac:dyDescent="0.3">
      <c r="A83" s="293" t="s">
        <v>444</v>
      </c>
      <c r="B83" s="293"/>
      <c r="C83" s="295"/>
      <c r="D83" s="295">
        <v>0</v>
      </c>
      <c r="E83" s="295">
        <v>0</v>
      </c>
      <c r="F83" s="295">
        <f>E83/9</f>
        <v>0</v>
      </c>
      <c r="G83" s="295"/>
      <c r="H83" s="305">
        <v>0</v>
      </c>
      <c r="I83" s="305">
        <v>0</v>
      </c>
      <c r="J83" s="306">
        <f>I83/12</f>
        <v>0</v>
      </c>
      <c r="K83" s="279" t="s">
        <v>582</v>
      </c>
    </row>
    <row r="84" spans="1:11" x14ac:dyDescent="0.3">
      <c r="A84" s="293" t="s">
        <v>295</v>
      </c>
      <c r="B84" s="293">
        <v>3</v>
      </c>
      <c r="C84" s="300">
        <v>273017.75666666671</v>
      </c>
      <c r="D84" s="300">
        <v>117200</v>
      </c>
      <c r="E84" s="300">
        <v>97302</v>
      </c>
      <c r="F84" s="300">
        <f>E84/9</f>
        <v>10811.333333333334</v>
      </c>
      <c r="G84" s="285"/>
      <c r="H84" s="309">
        <v>0</v>
      </c>
      <c r="I84" s="309">
        <v>122590</v>
      </c>
      <c r="J84" s="310">
        <f>I84/12</f>
        <v>10215.833333333334</v>
      </c>
      <c r="K84" s="279" t="s">
        <v>582</v>
      </c>
    </row>
    <row r="85" spans="1:11" x14ac:dyDescent="0.3">
      <c r="A85" s="304" t="s">
        <v>314</v>
      </c>
      <c r="B85" s="293"/>
      <c r="C85" s="295">
        <f t="shared" ref="C85:J85" si="38">SUM(C82:C84)</f>
        <v>404246.59</v>
      </c>
      <c r="D85" s="295">
        <f t="shared" si="38"/>
        <v>246200</v>
      </c>
      <c r="E85" s="295">
        <f t="shared" si="38"/>
        <v>205176</v>
      </c>
      <c r="F85" s="295">
        <f>SUM(F82:F84)</f>
        <v>22797.333333333336</v>
      </c>
      <c r="G85" s="285"/>
      <c r="H85" s="305">
        <f t="shared" si="38"/>
        <v>0</v>
      </c>
      <c r="I85" s="305">
        <f t="shared" si="38"/>
        <v>246210</v>
      </c>
      <c r="J85" s="306">
        <f t="shared" si="38"/>
        <v>20517.5</v>
      </c>
      <c r="K85" s="279"/>
    </row>
    <row r="86" spans="1:11" x14ac:dyDescent="0.3">
      <c r="A86" s="304"/>
      <c r="B86" s="293"/>
      <c r="C86" s="295"/>
      <c r="D86" s="295"/>
      <c r="E86" s="295"/>
      <c r="F86" s="295"/>
      <c r="G86" s="295"/>
      <c r="H86" s="305"/>
      <c r="I86" s="305"/>
      <c r="J86" s="306"/>
      <c r="K86" s="279"/>
    </row>
    <row r="87" spans="1:11" x14ac:dyDescent="0.3">
      <c r="A87" s="304" t="s">
        <v>84</v>
      </c>
      <c r="B87" s="293"/>
      <c r="C87" s="295"/>
      <c r="D87" s="295"/>
      <c r="E87" s="295"/>
      <c r="F87" s="295"/>
      <c r="G87" s="295"/>
      <c r="H87" s="305"/>
      <c r="I87" s="305"/>
      <c r="J87" s="306"/>
      <c r="K87" s="279"/>
    </row>
    <row r="88" spans="1:11" x14ac:dyDescent="0.3">
      <c r="A88" s="293" t="s">
        <v>63</v>
      </c>
      <c r="B88" s="293">
        <v>3</v>
      </c>
      <c r="C88" s="323">
        <v>9000</v>
      </c>
      <c r="D88" s="300">
        <v>36000</v>
      </c>
      <c r="E88" s="300">
        <v>27000</v>
      </c>
      <c r="F88" s="300">
        <f>E88/9</f>
        <v>3000</v>
      </c>
      <c r="G88" s="285"/>
      <c r="H88" s="309">
        <v>0</v>
      </c>
      <c r="I88" s="341">
        <f>D88+H88</f>
        <v>36000</v>
      </c>
      <c r="J88" s="342">
        <f>I88/12</f>
        <v>3000</v>
      </c>
      <c r="K88" s="279"/>
    </row>
    <row r="89" spans="1:11" x14ac:dyDescent="0.3">
      <c r="A89" s="304" t="s">
        <v>93</v>
      </c>
      <c r="B89" s="293"/>
      <c r="C89" s="295">
        <f>SUM(C86:C88)</f>
        <v>9000</v>
      </c>
      <c r="D89" s="295">
        <f t="shared" ref="D89:J89" si="39">SUM(D86:D88)</f>
        <v>36000</v>
      </c>
      <c r="E89" s="295">
        <f t="shared" si="39"/>
        <v>27000</v>
      </c>
      <c r="F89" s="295">
        <f>SUM(F88)</f>
        <v>3000</v>
      </c>
      <c r="G89" s="285"/>
      <c r="H89" s="305">
        <f t="shared" si="39"/>
        <v>0</v>
      </c>
      <c r="I89" s="305">
        <f t="shared" si="39"/>
        <v>36000</v>
      </c>
      <c r="J89" s="306">
        <f t="shared" si="39"/>
        <v>3000</v>
      </c>
      <c r="K89" s="279"/>
    </row>
    <row r="90" spans="1:11" x14ac:dyDescent="0.3">
      <c r="A90" s="304"/>
      <c r="B90" s="293"/>
      <c r="C90" s="295"/>
      <c r="D90" s="295"/>
      <c r="E90" s="295"/>
      <c r="F90" s="295"/>
      <c r="G90" s="295"/>
      <c r="H90" s="305"/>
      <c r="I90" s="305"/>
      <c r="J90" s="306"/>
      <c r="K90" s="279"/>
    </row>
    <row r="91" spans="1:11" x14ac:dyDescent="0.3">
      <c r="A91" s="304" t="s">
        <v>458</v>
      </c>
      <c r="B91" s="293"/>
      <c r="C91" s="295"/>
      <c r="D91" s="295"/>
      <c r="E91" s="295"/>
      <c r="F91" s="295"/>
      <c r="G91" s="295"/>
      <c r="H91" s="305"/>
      <c r="I91" s="305"/>
      <c r="J91" s="306"/>
      <c r="K91" s="279"/>
    </row>
    <row r="92" spans="1:11" x14ac:dyDescent="0.3">
      <c r="A92" s="293" t="s">
        <v>297</v>
      </c>
      <c r="B92" s="293">
        <v>3</v>
      </c>
      <c r="C92" s="323">
        <v>6433.333333333333</v>
      </c>
      <c r="D92" s="295">
        <v>24000</v>
      </c>
      <c r="E92" s="295">
        <v>0</v>
      </c>
      <c r="F92" s="295">
        <f>E92/9</f>
        <v>0</v>
      </c>
      <c r="G92" s="295"/>
      <c r="H92" s="305">
        <v>0</v>
      </c>
      <c r="I92" s="305">
        <v>6000</v>
      </c>
      <c r="J92" s="306">
        <f t="shared" ref="J92:J97" si="40">I92/12</f>
        <v>500</v>
      </c>
      <c r="K92" s="279" t="s">
        <v>666</v>
      </c>
    </row>
    <row r="93" spans="1:11" x14ac:dyDescent="0.3">
      <c r="A93" s="293" t="s">
        <v>25</v>
      </c>
      <c r="B93" s="293">
        <v>3</v>
      </c>
      <c r="C93" s="323">
        <v>3210</v>
      </c>
      <c r="D93" s="295">
        <v>0</v>
      </c>
      <c r="E93" s="295">
        <v>3025</v>
      </c>
      <c r="F93" s="295">
        <f t="shared" ref="F93:F96" si="41">E93/9</f>
        <v>336.11111111111109</v>
      </c>
      <c r="G93" s="295"/>
      <c r="H93" s="305">
        <v>0</v>
      </c>
      <c r="I93" s="305">
        <v>0</v>
      </c>
      <c r="J93" s="306">
        <f t="shared" si="40"/>
        <v>0</v>
      </c>
      <c r="K93" s="279"/>
    </row>
    <row r="94" spans="1:11" x14ac:dyDescent="0.3">
      <c r="A94" s="293" t="s">
        <v>358</v>
      </c>
      <c r="B94" s="293">
        <v>3</v>
      </c>
      <c r="C94" s="323">
        <v>5741.666666666667</v>
      </c>
      <c r="D94" s="295">
        <v>15000</v>
      </c>
      <c r="E94" s="295">
        <v>19402</v>
      </c>
      <c r="F94" s="295">
        <f t="shared" si="41"/>
        <v>2155.7777777777778</v>
      </c>
      <c r="G94" s="295"/>
      <c r="H94" s="305">
        <v>0</v>
      </c>
      <c r="I94" s="305">
        <v>15000</v>
      </c>
      <c r="J94" s="306">
        <f t="shared" si="40"/>
        <v>1250</v>
      </c>
      <c r="K94" s="279" t="s">
        <v>425</v>
      </c>
    </row>
    <row r="95" spans="1:11" x14ac:dyDescent="0.3">
      <c r="A95" s="293" t="s">
        <v>236</v>
      </c>
      <c r="B95" s="293">
        <v>3</v>
      </c>
      <c r="C95" s="323">
        <v>2500.3333333333335</v>
      </c>
      <c r="D95" s="295">
        <v>6000</v>
      </c>
      <c r="E95" s="295">
        <v>1418</v>
      </c>
      <c r="F95" s="295">
        <f t="shared" si="41"/>
        <v>157.55555555555554</v>
      </c>
      <c r="G95" s="295"/>
      <c r="H95" s="305">
        <v>0</v>
      </c>
      <c r="I95" s="305">
        <v>0</v>
      </c>
      <c r="J95" s="306">
        <f t="shared" si="40"/>
        <v>0</v>
      </c>
      <c r="K95" s="273" t="s">
        <v>641</v>
      </c>
    </row>
    <row r="96" spans="1:11" x14ac:dyDescent="0.3">
      <c r="A96" s="293" t="s">
        <v>26</v>
      </c>
      <c r="B96" s="293">
        <v>3</v>
      </c>
      <c r="C96" s="323">
        <v>29993.693333333333</v>
      </c>
      <c r="D96" s="295">
        <v>18000</v>
      </c>
      <c r="E96" s="295">
        <v>35191</v>
      </c>
      <c r="F96" s="295">
        <f t="shared" si="41"/>
        <v>3910.1111111111113</v>
      </c>
      <c r="G96" s="295"/>
      <c r="H96" s="305">
        <v>0</v>
      </c>
      <c r="I96" s="305">
        <v>0</v>
      </c>
      <c r="J96" s="306">
        <f t="shared" si="40"/>
        <v>0</v>
      </c>
      <c r="K96" s="273" t="s">
        <v>641</v>
      </c>
    </row>
    <row r="97" spans="1:11" x14ac:dyDescent="0.3">
      <c r="A97" s="293" t="s">
        <v>65</v>
      </c>
      <c r="B97" s="293">
        <v>3</v>
      </c>
      <c r="C97" s="365">
        <v>11811</v>
      </c>
      <c r="D97" s="300">
        <v>3000</v>
      </c>
      <c r="E97" s="300">
        <v>0</v>
      </c>
      <c r="F97" s="300">
        <f>E97/9</f>
        <v>0</v>
      </c>
      <c r="G97" s="285"/>
      <c r="H97" s="309">
        <f t="shared" ref="H97" si="42">SUM(H89:H96)</f>
        <v>0</v>
      </c>
      <c r="I97" s="309">
        <v>3000</v>
      </c>
      <c r="J97" s="310">
        <f t="shared" si="40"/>
        <v>250</v>
      </c>
      <c r="K97" s="279" t="s">
        <v>435</v>
      </c>
    </row>
    <row r="98" spans="1:11" ht="20.25" thickBot="1" x14ac:dyDescent="0.35">
      <c r="A98" s="304" t="s">
        <v>320</v>
      </c>
      <c r="B98" s="293"/>
      <c r="C98" s="295">
        <f>SUM(C92:C97)</f>
        <v>59690.026666666665</v>
      </c>
      <c r="D98" s="295">
        <f t="shared" ref="D98:E98" si="43">SUM(D92:D97)</f>
        <v>66000</v>
      </c>
      <c r="E98" s="295">
        <f t="shared" si="43"/>
        <v>59036</v>
      </c>
      <c r="F98" s="295">
        <f>SUM(F92:F97)</f>
        <v>6559.5555555555557</v>
      </c>
      <c r="G98" s="285"/>
      <c r="H98" s="367">
        <f>SUM(H92:H97)</f>
        <v>0</v>
      </c>
      <c r="I98" s="326">
        <f t="shared" ref="I98:J98" si="44">SUM(I92:I97)</f>
        <v>24000</v>
      </c>
      <c r="J98" s="327">
        <f t="shared" si="44"/>
        <v>2000</v>
      </c>
      <c r="K98" s="279"/>
    </row>
    <row r="99" spans="1:11" x14ac:dyDescent="0.3">
      <c r="A99" s="293"/>
      <c r="B99" s="293"/>
      <c r="C99" s="293"/>
      <c r="D99" s="293"/>
      <c r="E99" s="293"/>
      <c r="F99" s="293"/>
      <c r="G99" s="293"/>
    </row>
  </sheetData>
  <pageMargins left="0.7" right="0.28000000000000003" top="0.71" bottom="0.7" header="0.3" footer="0.3"/>
  <pageSetup scale="44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5"/>
  <sheetViews>
    <sheetView zoomScale="80" zoomScaleNormal="80" workbookViewId="0">
      <pane xSplit="3" ySplit="4" topLeftCell="D44" activePane="bottomRight" state="frozen"/>
      <selection activeCell="I38" sqref="I38"/>
      <selection pane="topRight" activeCell="I38" sqref="I38"/>
      <selection pane="bottomLeft" activeCell="I38" sqref="I38"/>
      <selection pane="bottomRight" activeCell="F73" sqref="F73"/>
    </sheetView>
  </sheetViews>
  <sheetFormatPr defaultRowHeight="19.5" x14ac:dyDescent="0.3"/>
  <cols>
    <col min="1" max="1" width="55.42578125" style="273" bestFit="1" customWidth="1"/>
    <col min="2" max="2" width="9.140625" style="273" hidden="1" customWidth="1"/>
    <col min="3" max="3" width="11.7109375" style="273" hidden="1" customWidth="1"/>
    <col min="4" max="4" width="17" style="273" bestFit="1" customWidth="1"/>
    <col min="5" max="5" width="15.140625" style="273" bestFit="1" customWidth="1"/>
    <col min="6" max="6" width="15.28515625" style="273" bestFit="1" customWidth="1"/>
    <col min="7" max="7" width="3.42578125" style="273" customWidth="1"/>
    <col min="8" max="8" width="0" style="273" hidden="1" customWidth="1"/>
    <col min="9" max="9" width="33.85546875" style="273" customWidth="1"/>
    <col min="10" max="10" width="12.85546875" style="273" bestFit="1" customWidth="1"/>
    <col min="11" max="11" width="62" style="273" customWidth="1"/>
    <col min="12" max="12" width="2.85546875" style="273" customWidth="1"/>
    <col min="13" max="16384" width="9.140625" style="273"/>
  </cols>
  <sheetData>
    <row r="1" spans="1:19" x14ac:dyDescent="0.3">
      <c r="I1" s="274" t="str">
        <f>'Viking Sq'!I1</f>
        <v>Projected Annual Budget 2016</v>
      </c>
      <c r="J1" s="275"/>
      <c r="K1" s="358"/>
      <c r="L1" s="368"/>
      <c r="M1" s="369"/>
      <c r="N1" s="369"/>
      <c r="O1" s="369"/>
      <c r="P1" s="369"/>
      <c r="Q1" s="369"/>
      <c r="R1" s="369"/>
      <c r="S1" s="369"/>
    </row>
    <row r="2" spans="1:19" x14ac:dyDescent="0.3">
      <c r="I2" s="277" t="s">
        <v>395</v>
      </c>
      <c r="J2" s="278"/>
      <c r="K2" s="273" t="s">
        <v>589</v>
      </c>
      <c r="L2" s="370"/>
      <c r="M2" s="369"/>
      <c r="N2" s="369"/>
      <c r="O2" s="369"/>
      <c r="P2" s="369"/>
      <c r="Q2" s="369"/>
      <c r="R2" s="369"/>
      <c r="S2" s="369"/>
    </row>
    <row r="3" spans="1:19" ht="20.25" thickBot="1" x14ac:dyDescent="0.35">
      <c r="A3" s="280" t="s">
        <v>502</v>
      </c>
      <c r="D3" s="280"/>
      <c r="I3" s="371" t="s">
        <v>622</v>
      </c>
      <c r="J3" s="278"/>
      <c r="K3" s="282"/>
      <c r="L3" s="372"/>
      <c r="M3" s="369"/>
      <c r="N3" s="369"/>
      <c r="O3" s="369"/>
      <c r="P3" s="369"/>
      <c r="Q3" s="369"/>
      <c r="R3" s="369"/>
      <c r="S3" s="369"/>
    </row>
    <row r="4" spans="1:19" s="291" customFormat="1" ht="59.25" thickBot="1" x14ac:dyDescent="0.35">
      <c r="A4" s="283" t="s">
        <v>77</v>
      </c>
      <c r="B4" s="283" t="s">
        <v>78</v>
      </c>
      <c r="C4" s="283" t="s">
        <v>79</v>
      </c>
      <c r="D4" s="284" t="str">
        <f>'Viking Sq'!D4</f>
        <v>2015 Annual Budget</v>
      </c>
      <c r="E4" s="284" t="str">
        <f>'Viking Sq'!E4</f>
        <v>YTD Actual FY 2015 @ 9/30/15</v>
      </c>
      <c r="F4" s="284" t="str">
        <f>'Viking Sq'!F4</f>
        <v>FY 2015 - 9 month Avg</v>
      </c>
      <c r="G4" s="295"/>
      <c r="H4" s="373"/>
      <c r="I4" s="287" t="s">
        <v>430</v>
      </c>
      <c r="J4" s="288" t="s">
        <v>431</v>
      </c>
      <c r="K4" s="289"/>
      <c r="L4" s="374"/>
      <c r="M4" s="375"/>
      <c r="N4" s="375"/>
      <c r="O4" s="376"/>
      <c r="P4" s="376"/>
      <c r="Q4" s="376"/>
      <c r="R4" s="376"/>
      <c r="S4" s="376"/>
    </row>
    <row r="5" spans="1:19" x14ac:dyDescent="0.3">
      <c r="A5" s="293" t="s">
        <v>33</v>
      </c>
      <c r="B5" s="293">
        <v>3</v>
      </c>
      <c r="C5" s="323">
        <v>-529501.75</v>
      </c>
      <c r="D5" s="285">
        <v>0</v>
      </c>
      <c r="E5" s="285">
        <v>-3043</v>
      </c>
      <c r="F5" s="285">
        <f>E5/9</f>
        <v>-338.11111111111109</v>
      </c>
      <c r="G5" s="295"/>
      <c r="H5" s="296">
        <v>0</v>
      </c>
      <c r="I5" s="357">
        <v>-51180</v>
      </c>
      <c r="J5" s="297">
        <f>I5/12</f>
        <v>-4265</v>
      </c>
      <c r="K5" s="358"/>
      <c r="L5" s="368"/>
      <c r="M5" s="369"/>
      <c r="N5" s="369">
        <f>SUM(E5)+(F5*3)*1.03</f>
        <v>-4087.7633333333333</v>
      </c>
      <c r="O5" s="377" t="s">
        <v>80</v>
      </c>
      <c r="P5" s="369"/>
      <c r="Q5" s="369"/>
      <c r="R5" s="369"/>
      <c r="S5" s="369"/>
    </row>
    <row r="6" spans="1:19" x14ac:dyDescent="0.3">
      <c r="A6" s="293" t="s">
        <v>34</v>
      </c>
      <c r="B6" s="293">
        <v>3</v>
      </c>
      <c r="C6" s="323">
        <f>26538.3-5333</f>
        <v>21205.3</v>
      </c>
      <c r="D6" s="285">
        <v>0</v>
      </c>
      <c r="E6" s="285">
        <v>671</v>
      </c>
      <c r="F6" s="285">
        <f>E6/9</f>
        <v>74.555555555555557</v>
      </c>
      <c r="G6" s="285"/>
      <c r="H6" s="296">
        <f>D6*$O$7</f>
        <v>0</v>
      </c>
      <c r="I6" s="357">
        <v>1020</v>
      </c>
      <c r="J6" s="297">
        <f t="shared" ref="J6:J12" si="0">I6/12</f>
        <v>85</v>
      </c>
      <c r="K6" s="273" t="s">
        <v>555</v>
      </c>
      <c r="L6" s="369"/>
      <c r="M6" s="369"/>
      <c r="N6" s="369">
        <f>SUM(I5)*0.02</f>
        <v>-1023.6</v>
      </c>
      <c r="O6" s="377" t="s">
        <v>396</v>
      </c>
      <c r="P6" s="369"/>
      <c r="Q6" s="369"/>
      <c r="R6" s="369"/>
      <c r="S6" s="369"/>
    </row>
    <row r="7" spans="1:19" x14ac:dyDescent="0.3">
      <c r="A7" s="293" t="s">
        <v>35</v>
      </c>
      <c r="B7" s="293">
        <v>3</v>
      </c>
      <c r="C7" s="323">
        <f>-36-1275</f>
        <v>-1311</v>
      </c>
      <c r="D7" s="285">
        <v>0</v>
      </c>
      <c r="E7" s="285">
        <v>0</v>
      </c>
      <c r="F7" s="285">
        <f t="shared" ref="F7:F11" si="1">E7/9</f>
        <v>0</v>
      </c>
      <c r="G7" s="285"/>
      <c r="H7" s="296">
        <f>D7*$O$7</f>
        <v>0</v>
      </c>
      <c r="I7" s="357">
        <v>-20</v>
      </c>
      <c r="J7" s="297">
        <f t="shared" si="0"/>
        <v>-1.6666666666666667</v>
      </c>
      <c r="L7" s="369"/>
      <c r="M7" s="369"/>
      <c r="N7" s="369"/>
      <c r="O7" s="368">
        <v>0.03</v>
      </c>
      <c r="P7" s="369"/>
      <c r="Q7" s="369"/>
      <c r="R7" s="369"/>
      <c r="S7" s="369"/>
    </row>
    <row r="8" spans="1:19" x14ac:dyDescent="0.3">
      <c r="A8" s="293" t="s">
        <v>37</v>
      </c>
      <c r="B8" s="293">
        <v>3</v>
      </c>
      <c r="C8" s="323">
        <v>-233</v>
      </c>
      <c r="D8" s="285">
        <v>0</v>
      </c>
      <c r="E8" s="285">
        <v>0</v>
      </c>
      <c r="F8" s="285">
        <f t="shared" si="1"/>
        <v>0</v>
      </c>
      <c r="G8" s="285"/>
      <c r="H8" s="296">
        <f>D8*$O$7</f>
        <v>0</v>
      </c>
      <c r="I8" s="357">
        <v>-60</v>
      </c>
      <c r="J8" s="297">
        <f t="shared" si="0"/>
        <v>-5</v>
      </c>
      <c r="L8" s="369"/>
      <c r="M8" s="369"/>
      <c r="N8" s="369"/>
      <c r="O8" s="369"/>
      <c r="P8" s="369"/>
      <c r="Q8" s="369"/>
      <c r="R8" s="369"/>
      <c r="S8" s="369"/>
    </row>
    <row r="9" spans="1:19" hidden="1" x14ac:dyDescent="0.3">
      <c r="A9" s="293" t="s">
        <v>460</v>
      </c>
      <c r="B9" s="293"/>
      <c r="C9" s="323"/>
      <c r="D9" s="285">
        <v>0</v>
      </c>
      <c r="E9" s="285">
        <v>0</v>
      </c>
      <c r="F9" s="285">
        <f t="shared" si="1"/>
        <v>0</v>
      </c>
      <c r="G9" s="285"/>
      <c r="H9" s="296"/>
      <c r="I9" s="357">
        <v>0</v>
      </c>
      <c r="J9" s="297">
        <f t="shared" si="0"/>
        <v>0</v>
      </c>
      <c r="L9" s="369"/>
      <c r="M9" s="369"/>
      <c r="N9" s="369"/>
      <c r="O9" s="369"/>
      <c r="P9" s="369"/>
      <c r="Q9" s="369"/>
      <c r="R9" s="369"/>
      <c r="S9" s="369"/>
    </row>
    <row r="10" spans="1:19" hidden="1" x14ac:dyDescent="0.3">
      <c r="A10" s="293" t="s">
        <v>301</v>
      </c>
      <c r="B10" s="293"/>
      <c r="C10" s="323"/>
      <c r="D10" s="285">
        <v>0</v>
      </c>
      <c r="E10" s="285">
        <v>0</v>
      </c>
      <c r="F10" s="285">
        <f t="shared" si="1"/>
        <v>0</v>
      </c>
      <c r="G10" s="285"/>
      <c r="H10" s="296"/>
      <c r="I10" s="357">
        <v>0</v>
      </c>
      <c r="J10" s="297">
        <f t="shared" si="0"/>
        <v>0</v>
      </c>
      <c r="L10" s="369"/>
      <c r="M10" s="369"/>
      <c r="N10" s="369"/>
      <c r="O10" s="369"/>
      <c r="P10" s="369"/>
      <c r="Q10" s="369"/>
      <c r="R10" s="369"/>
      <c r="S10" s="369"/>
    </row>
    <row r="11" spans="1:19" hidden="1" x14ac:dyDescent="0.3">
      <c r="A11" s="293" t="s">
        <v>362</v>
      </c>
      <c r="B11" s="293"/>
      <c r="C11" s="323"/>
      <c r="D11" s="285">
        <v>0</v>
      </c>
      <c r="E11" s="285">
        <v>0</v>
      </c>
      <c r="F11" s="285">
        <f t="shared" si="1"/>
        <v>0</v>
      </c>
      <c r="G11" s="285"/>
      <c r="H11" s="296"/>
      <c r="I11" s="357">
        <v>0</v>
      </c>
      <c r="J11" s="297">
        <f t="shared" si="0"/>
        <v>0</v>
      </c>
      <c r="L11" s="369"/>
      <c r="M11" s="369"/>
      <c r="N11" s="369"/>
      <c r="O11" s="369"/>
      <c r="P11" s="369"/>
      <c r="Q11" s="369"/>
      <c r="R11" s="369"/>
      <c r="S11" s="369"/>
    </row>
    <row r="12" spans="1:19" x14ac:dyDescent="0.3">
      <c r="A12" s="293" t="s">
        <v>290</v>
      </c>
      <c r="B12" s="293">
        <v>3</v>
      </c>
      <c r="C12" s="365">
        <f>-8292+2029</f>
        <v>-6263</v>
      </c>
      <c r="D12" s="301">
        <v>0</v>
      </c>
      <c r="E12" s="301">
        <v>0</v>
      </c>
      <c r="F12" s="301">
        <f>E12/9</f>
        <v>0</v>
      </c>
      <c r="G12" s="295"/>
      <c r="H12" s="302">
        <f>D12*$O$7</f>
        <v>0</v>
      </c>
      <c r="I12" s="359">
        <v>-100</v>
      </c>
      <c r="J12" s="360">
        <f t="shared" si="0"/>
        <v>-8.3333333333333339</v>
      </c>
      <c r="L12" s="369"/>
      <c r="M12" s="369"/>
      <c r="N12" s="369"/>
      <c r="O12" s="369"/>
      <c r="P12" s="369"/>
      <c r="Q12" s="369"/>
      <c r="R12" s="369"/>
      <c r="S12" s="369"/>
    </row>
    <row r="13" spans="1:19" x14ac:dyDescent="0.3">
      <c r="A13" s="304" t="s">
        <v>81</v>
      </c>
      <c r="B13" s="293"/>
      <c r="C13" s="295">
        <f>SUM(C4:C12)</f>
        <v>-516103.45</v>
      </c>
      <c r="D13" s="285">
        <f>SUM(D4:D12)</f>
        <v>0</v>
      </c>
      <c r="E13" s="285">
        <f>SUM(E5:E12)</f>
        <v>-2372</v>
      </c>
      <c r="F13" s="285">
        <f>SUM(F5:F12)</f>
        <v>-263.55555555555554</v>
      </c>
      <c r="G13" s="295"/>
      <c r="H13" s="296">
        <f>SUM(H4:H12)</f>
        <v>0</v>
      </c>
      <c r="I13" s="296">
        <f>SUM(I4:I12)</f>
        <v>-50340</v>
      </c>
      <c r="J13" s="297">
        <f>SUM(J4:J12)</f>
        <v>-4195</v>
      </c>
      <c r="L13" s="369"/>
      <c r="M13" s="369"/>
      <c r="N13" s="369"/>
      <c r="O13" s="369"/>
      <c r="P13" s="369"/>
      <c r="Q13" s="369"/>
      <c r="R13" s="369"/>
      <c r="S13" s="369"/>
    </row>
    <row r="14" spans="1:19" x14ac:dyDescent="0.3">
      <c r="A14" s="293"/>
      <c r="B14" s="293"/>
      <c r="C14" s="295"/>
      <c r="D14" s="285"/>
      <c r="E14" s="285"/>
      <c r="F14" s="285"/>
      <c r="G14" s="285"/>
      <c r="H14" s="296"/>
      <c r="I14" s="296"/>
      <c r="J14" s="297"/>
      <c r="L14" s="369"/>
      <c r="M14" s="369"/>
      <c r="N14" s="369"/>
      <c r="O14" s="369"/>
      <c r="P14" s="369"/>
      <c r="Q14" s="369"/>
      <c r="R14" s="369"/>
      <c r="S14" s="369"/>
    </row>
    <row r="15" spans="1:19" x14ac:dyDescent="0.3">
      <c r="A15" s="293" t="s">
        <v>82</v>
      </c>
      <c r="B15" s="293"/>
      <c r="C15" s="295">
        <f>C45</f>
        <v>384687.69999999995</v>
      </c>
      <c r="D15" s="285">
        <f t="shared" ref="D15:E15" si="2">D45</f>
        <v>0</v>
      </c>
      <c r="E15" s="285">
        <f t="shared" si="2"/>
        <v>10570</v>
      </c>
      <c r="F15" s="285">
        <f>E15/9</f>
        <v>1174.4444444444443</v>
      </c>
      <c r="G15" s="285"/>
      <c r="H15" s="296" t="e">
        <f>H45</f>
        <v>#REF!</v>
      </c>
      <c r="I15" s="296">
        <f>I45</f>
        <v>4690</v>
      </c>
      <c r="J15" s="297">
        <f>J45</f>
        <v>382.5</v>
      </c>
      <c r="L15" s="369"/>
      <c r="M15" s="369"/>
      <c r="N15" s="369"/>
      <c r="O15" s="369"/>
      <c r="P15" s="369"/>
      <c r="Q15" s="369"/>
      <c r="R15" s="369"/>
      <c r="S15" s="369"/>
    </row>
    <row r="16" spans="1:19" x14ac:dyDescent="0.3">
      <c r="A16" s="293" t="s">
        <v>90</v>
      </c>
      <c r="B16" s="293"/>
      <c r="C16" s="295">
        <f t="shared" ref="C16:J16" si="3">C52</f>
        <v>132359.13</v>
      </c>
      <c r="D16" s="285">
        <f t="shared" si="3"/>
        <v>0</v>
      </c>
      <c r="E16" s="285">
        <f t="shared" si="3"/>
        <v>51</v>
      </c>
      <c r="F16" s="285">
        <f t="shared" ref="F16:F20" si="4">E16/9</f>
        <v>5.666666666666667</v>
      </c>
      <c r="G16" s="285"/>
      <c r="H16" s="296">
        <f t="shared" si="3"/>
        <v>0</v>
      </c>
      <c r="I16" s="296">
        <f t="shared" si="3"/>
        <v>4710</v>
      </c>
      <c r="J16" s="297">
        <f t="shared" si="3"/>
        <v>392.5</v>
      </c>
      <c r="K16" s="279"/>
      <c r="L16" s="370"/>
      <c r="M16" s="369"/>
      <c r="N16" s="369"/>
      <c r="O16" s="369"/>
      <c r="P16" s="369"/>
      <c r="Q16" s="369"/>
      <c r="R16" s="369"/>
      <c r="S16" s="369"/>
    </row>
    <row r="17" spans="1:19" x14ac:dyDescent="0.3">
      <c r="A17" s="293" t="s">
        <v>95</v>
      </c>
      <c r="B17" s="293"/>
      <c r="C17" s="295">
        <f>C70</f>
        <v>279758.26</v>
      </c>
      <c r="D17" s="285">
        <f t="shared" ref="D17:E17" si="5">D70</f>
        <v>0</v>
      </c>
      <c r="E17" s="285">
        <f t="shared" si="5"/>
        <v>4264</v>
      </c>
      <c r="F17" s="285">
        <f t="shared" si="4"/>
        <v>473.77777777777777</v>
      </c>
      <c r="G17" s="285"/>
      <c r="H17" s="378">
        <f>H70</f>
        <v>0</v>
      </c>
      <c r="I17" s="296">
        <f>I70</f>
        <v>17510</v>
      </c>
      <c r="J17" s="297">
        <f>J70</f>
        <v>1459.1666666666667</v>
      </c>
      <c r="L17" s="369"/>
      <c r="M17" s="369"/>
      <c r="N17" s="369"/>
      <c r="O17" s="369"/>
      <c r="P17" s="369"/>
      <c r="Q17" s="369"/>
      <c r="R17" s="369"/>
      <c r="S17" s="369"/>
    </row>
    <row r="18" spans="1:19" x14ac:dyDescent="0.3">
      <c r="A18" s="293" t="s">
        <v>83</v>
      </c>
      <c r="B18" s="293"/>
      <c r="C18" s="295">
        <f>C81</f>
        <v>330903.68999999994</v>
      </c>
      <c r="D18" s="285">
        <f t="shared" ref="D18:E18" si="6">D81</f>
        <v>0</v>
      </c>
      <c r="E18" s="285">
        <f t="shared" si="6"/>
        <v>976</v>
      </c>
      <c r="F18" s="285">
        <f t="shared" si="4"/>
        <v>108.44444444444444</v>
      </c>
      <c r="G18" s="285"/>
      <c r="H18" s="296" t="e">
        <f>H81</f>
        <v>#REF!</v>
      </c>
      <c r="I18" s="296">
        <f>I81</f>
        <v>10410</v>
      </c>
      <c r="J18" s="297">
        <f>J81</f>
        <v>867.5</v>
      </c>
      <c r="K18" s="279"/>
      <c r="L18" s="370"/>
      <c r="M18" s="369"/>
      <c r="N18" s="369"/>
      <c r="O18" s="369"/>
      <c r="P18" s="369"/>
      <c r="Q18" s="369"/>
      <c r="R18" s="369"/>
      <c r="S18" s="369"/>
    </row>
    <row r="19" spans="1:19" x14ac:dyDescent="0.3">
      <c r="A19" s="293" t="s">
        <v>302</v>
      </c>
      <c r="B19" s="293"/>
      <c r="C19" s="295">
        <f>C86</f>
        <v>452336.52</v>
      </c>
      <c r="D19" s="285">
        <f t="shared" ref="D19:E19" si="7">D86</f>
        <v>0</v>
      </c>
      <c r="E19" s="285">
        <f t="shared" si="7"/>
        <v>1382</v>
      </c>
      <c r="F19" s="285">
        <f t="shared" si="4"/>
        <v>153.55555555555554</v>
      </c>
      <c r="G19" s="285"/>
      <c r="H19" s="296">
        <f>H86</f>
        <v>0</v>
      </c>
      <c r="I19" s="296">
        <f>I86</f>
        <v>27420</v>
      </c>
      <c r="J19" s="297">
        <f>J86</f>
        <v>2285</v>
      </c>
      <c r="K19" s="279"/>
      <c r="L19" s="370"/>
      <c r="M19" s="369"/>
      <c r="N19" s="369"/>
      <c r="O19" s="369"/>
      <c r="P19" s="369"/>
      <c r="Q19" s="369"/>
      <c r="R19" s="369"/>
      <c r="S19" s="369"/>
    </row>
    <row r="20" spans="1:19" x14ac:dyDescent="0.3">
      <c r="A20" s="293" t="s">
        <v>84</v>
      </c>
      <c r="B20" s="293"/>
      <c r="C20" s="295">
        <f>C90</f>
        <v>35806.879999999997</v>
      </c>
      <c r="D20" s="285">
        <f t="shared" ref="D20:E20" si="8">D90</f>
        <v>0</v>
      </c>
      <c r="E20" s="285">
        <f t="shared" si="8"/>
        <v>0</v>
      </c>
      <c r="F20" s="285">
        <f t="shared" si="4"/>
        <v>0</v>
      </c>
      <c r="G20" s="285"/>
      <c r="H20" s="296">
        <f>H90</f>
        <v>0</v>
      </c>
      <c r="I20" s="296">
        <f>I90</f>
        <v>1800</v>
      </c>
      <c r="J20" s="297">
        <f>J90</f>
        <v>150</v>
      </c>
      <c r="K20" s="307"/>
      <c r="L20" s="379"/>
      <c r="M20" s="380"/>
      <c r="N20" s="369"/>
      <c r="O20" s="369"/>
      <c r="P20" s="369"/>
      <c r="Q20" s="369"/>
      <c r="R20" s="369"/>
      <c r="S20" s="369"/>
    </row>
    <row r="21" spans="1:19" x14ac:dyDescent="0.3">
      <c r="A21" s="293" t="s">
        <v>85</v>
      </c>
      <c r="B21" s="293"/>
      <c r="C21" s="300">
        <f>C103</f>
        <v>56347.270000000004</v>
      </c>
      <c r="D21" s="301">
        <f t="shared" ref="D21:E21" si="9">D103</f>
        <v>0</v>
      </c>
      <c r="E21" s="301">
        <f t="shared" si="9"/>
        <v>0</v>
      </c>
      <c r="F21" s="301">
        <f>E21/9</f>
        <v>0</v>
      </c>
      <c r="G21" s="295"/>
      <c r="H21" s="302">
        <f>H103</f>
        <v>0</v>
      </c>
      <c r="I21" s="302">
        <f>I103</f>
        <v>2500</v>
      </c>
      <c r="J21" s="360">
        <f>J103</f>
        <v>208.33333333333334</v>
      </c>
      <c r="K21" s="307"/>
      <c r="L21" s="379"/>
      <c r="M21" s="369"/>
      <c r="N21" s="369"/>
      <c r="O21" s="369"/>
      <c r="P21" s="369"/>
      <c r="Q21" s="369"/>
      <c r="R21" s="369"/>
      <c r="S21" s="369"/>
    </row>
    <row r="22" spans="1:19" x14ac:dyDescent="0.3">
      <c r="A22" s="293" t="s">
        <v>86</v>
      </c>
      <c r="B22" s="293"/>
      <c r="C22" s="311">
        <f>SUM(C15:C21)</f>
        <v>1672199.4499999997</v>
      </c>
      <c r="D22" s="362">
        <f t="shared" ref="D22:F22" si="10">SUM(D15:D21)</f>
        <v>0</v>
      </c>
      <c r="E22" s="362">
        <f t="shared" si="10"/>
        <v>17243</v>
      </c>
      <c r="F22" s="362">
        <f t="shared" si="10"/>
        <v>1915.8888888888887</v>
      </c>
      <c r="G22" s="295"/>
      <c r="H22" s="302" t="e">
        <f>SUM(H15:H21)</f>
        <v>#REF!</v>
      </c>
      <c r="I22" s="363">
        <f t="shared" ref="I22:J22" si="11">SUM(I15:I21)</f>
        <v>69040</v>
      </c>
      <c r="J22" s="364">
        <f t="shared" si="11"/>
        <v>5745</v>
      </c>
      <c r="K22" s="307"/>
      <c r="L22" s="379"/>
      <c r="M22" s="369"/>
      <c r="N22" s="369"/>
      <c r="O22" s="369"/>
      <c r="P22" s="369"/>
      <c r="Q22" s="369"/>
      <c r="R22" s="369"/>
      <c r="S22" s="369"/>
    </row>
    <row r="23" spans="1:19" x14ac:dyDescent="0.3">
      <c r="A23" s="293"/>
      <c r="B23" s="293"/>
      <c r="C23" s="295"/>
      <c r="D23" s="285"/>
      <c r="E23" s="285"/>
      <c r="F23" s="285"/>
      <c r="G23" s="295"/>
      <c r="H23" s="296"/>
      <c r="I23" s="296"/>
      <c r="J23" s="297"/>
      <c r="K23" s="307"/>
      <c r="L23" s="379"/>
      <c r="M23" s="369"/>
      <c r="N23" s="369"/>
      <c r="O23" s="369"/>
      <c r="P23" s="369"/>
      <c r="Q23" s="369"/>
      <c r="R23" s="369"/>
      <c r="S23" s="369"/>
    </row>
    <row r="24" spans="1:19" ht="20.25" thickBot="1" x14ac:dyDescent="0.35">
      <c r="A24" s="314" t="s">
        <v>87</v>
      </c>
      <c r="B24" s="315"/>
      <c r="C24" s="316">
        <f>SUM(-C13-C22)</f>
        <v>-1156095.9999999998</v>
      </c>
      <c r="D24" s="317">
        <f t="shared" ref="D24" si="12">SUM(-D13-D22)</f>
        <v>0</v>
      </c>
      <c r="E24" s="317">
        <f t="shared" ref="E24:F24" si="13">SUM(E13+E22)</f>
        <v>14871</v>
      </c>
      <c r="F24" s="317">
        <f t="shared" si="13"/>
        <v>1652.333333333333</v>
      </c>
      <c r="G24" s="295"/>
      <c r="H24" s="318" t="e">
        <f>SUM(-H13-H22)</f>
        <v>#REF!</v>
      </c>
      <c r="I24" s="318">
        <f>SUM(I13+I22)</f>
        <v>18700</v>
      </c>
      <c r="J24" s="319">
        <f>SUM(J13+J22)</f>
        <v>1550</v>
      </c>
      <c r="K24" s="307"/>
      <c r="L24" s="379"/>
      <c r="M24" s="369"/>
      <c r="N24" s="369"/>
      <c r="O24" s="369"/>
      <c r="P24" s="369"/>
      <c r="Q24" s="369"/>
      <c r="R24" s="369"/>
      <c r="S24" s="369"/>
    </row>
    <row r="25" spans="1:19" x14ac:dyDescent="0.3">
      <c r="A25" s="304" t="s">
        <v>454</v>
      </c>
      <c r="B25" s="293"/>
      <c r="C25" s="295"/>
      <c r="D25" s="285"/>
      <c r="E25" s="285"/>
      <c r="F25" s="285"/>
      <c r="G25" s="285"/>
      <c r="H25" s="296"/>
      <c r="I25" s="296"/>
      <c r="J25" s="297"/>
      <c r="K25" s="307"/>
      <c r="L25" s="379"/>
      <c r="M25" s="369"/>
      <c r="N25" s="369"/>
      <c r="O25" s="369"/>
      <c r="P25" s="369"/>
      <c r="Q25" s="369"/>
      <c r="R25" s="369"/>
      <c r="S25" s="369"/>
    </row>
    <row r="26" spans="1:19" hidden="1" x14ac:dyDescent="0.3">
      <c r="A26" s="293" t="s">
        <v>38</v>
      </c>
      <c r="B26" s="320">
        <v>3</v>
      </c>
      <c r="C26" s="295">
        <f>SUM('[2]2014'!C9:E9)+18</f>
        <v>-29524.57</v>
      </c>
      <c r="D26" s="295">
        <v>0</v>
      </c>
      <c r="E26" s="295">
        <v>0</v>
      </c>
      <c r="F26" s="295">
        <f>E26/9</f>
        <v>0</v>
      </c>
      <c r="G26" s="295"/>
      <c r="H26" s="305">
        <v>0</v>
      </c>
      <c r="I26" s="305">
        <v>0</v>
      </c>
      <c r="J26" s="306">
        <f t="shared" ref="J26:J94" si="14">I26/12</f>
        <v>0</v>
      </c>
      <c r="K26" s="307"/>
      <c r="L26" s="379"/>
      <c r="M26" s="369"/>
      <c r="N26" s="369"/>
      <c r="O26" s="369"/>
      <c r="P26" s="369"/>
      <c r="Q26" s="369"/>
      <c r="R26" s="369"/>
      <c r="S26" s="369"/>
    </row>
    <row r="27" spans="1:19" hidden="1" x14ac:dyDescent="0.3">
      <c r="A27" s="293" t="s">
        <v>39</v>
      </c>
      <c r="B27" s="293">
        <v>3</v>
      </c>
      <c r="C27" s="323">
        <f>60000+51523</f>
        <v>111523</v>
      </c>
      <c r="D27" s="295">
        <v>0</v>
      </c>
      <c r="E27" s="295">
        <v>0</v>
      </c>
      <c r="F27" s="295">
        <f t="shared" ref="F27:F43" si="15">E27/9</f>
        <v>0</v>
      </c>
      <c r="G27" s="295"/>
      <c r="H27" s="296">
        <f>D27*$O$7</f>
        <v>0</v>
      </c>
      <c r="I27" s="296">
        <v>0</v>
      </c>
      <c r="J27" s="297">
        <f t="shared" si="14"/>
        <v>0</v>
      </c>
      <c r="L27" s="369"/>
      <c r="M27" s="369"/>
      <c r="N27" s="369"/>
      <c r="O27" s="369"/>
      <c r="P27" s="369"/>
      <c r="Q27" s="369"/>
      <c r="R27" s="369"/>
      <c r="S27" s="369"/>
    </row>
    <row r="28" spans="1:19" hidden="1" x14ac:dyDescent="0.3">
      <c r="A28" s="293" t="s">
        <v>40</v>
      </c>
      <c r="B28" s="293">
        <v>3</v>
      </c>
      <c r="C28" s="323">
        <f>10588.22-103</f>
        <v>10485.219999999999</v>
      </c>
      <c r="D28" s="295">
        <v>0</v>
      </c>
      <c r="E28" s="295">
        <v>0</v>
      </c>
      <c r="F28" s="295">
        <f t="shared" si="15"/>
        <v>0</v>
      </c>
      <c r="G28" s="295"/>
      <c r="H28" s="305">
        <f>D28*$O$7</f>
        <v>0</v>
      </c>
      <c r="I28" s="305">
        <v>0</v>
      </c>
      <c r="J28" s="306">
        <f t="shared" si="14"/>
        <v>0</v>
      </c>
      <c r="L28" s="369"/>
      <c r="M28" s="369"/>
      <c r="N28" s="369"/>
      <c r="O28" s="369"/>
      <c r="P28" s="369"/>
      <c r="Q28" s="369"/>
      <c r="R28" s="369"/>
      <c r="S28" s="369"/>
    </row>
    <row r="29" spans="1:19" x14ac:dyDescent="0.3">
      <c r="A29" s="293" t="s">
        <v>41</v>
      </c>
      <c r="B29" s="293">
        <v>3</v>
      </c>
      <c r="C29" s="323">
        <f>6773-1</f>
        <v>6772</v>
      </c>
      <c r="D29" s="295">
        <v>0</v>
      </c>
      <c r="E29" s="295">
        <v>3</v>
      </c>
      <c r="F29" s="295">
        <f t="shared" si="15"/>
        <v>0.33333333333333331</v>
      </c>
      <c r="G29" s="295"/>
      <c r="H29" s="305" t="e">
        <f>D29*#REF!</f>
        <v>#REF!</v>
      </c>
      <c r="I29" s="296">
        <v>40</v>
      </c>
      <c r="J29" s="306">
        <f>I29/12</f>
        <v>3.3333333333333335</v>
      </c>
      <c r="L29" s="369"/>
      <c r="M29" s="369"/>
      <c r="N29" s="369">
        <f>SUM(E29)+(F29*3)*1.03</f>
        <v>4.03</v>
      </c>
      <c r="O29" s="369"/>
      <c r="P29" s="369"/>
      <c r="Q29" s="369"/>
      <c r="R29" s="369"/>
      <c r="S29" s="369"/>
    </row>
    <row r="30" spans="1:19" x14ac:dyDescent="0.3">
      <c r="A30" s="293" t="s">
        <v>323</v>
      </c>
      <c r="B30" s="293">
        <v>3</v>
      </c>
      <c r="C30" s="323">
        <v>815</v>
      </c>
      <c r="D30" s="295">
        <v>0</v>
      </c>
      <c r="E30" s="295">
        <v>0</v>
      </c>
      <c r="F30" s="295">
        <f t="shared" si="15"/>
        <v>0</v>
      </c>
      <c r="G30" s="295"/>
      <c r="H30" s="305">
        <f>D30*$O$7</f>
        <v>0</v>
      </c>
      <c r="I30" s="305">
        <v>30</v>
      </c>
      <c r="J30" s="306">
        <f t="shared" si="14"/>
        <v>2.5</v>
      </c>
      <c r="L30" s="369"/>
      <c r="M30" s="369"/>
      <c r="N30" s="369">
        <f t="shared" ref="N30:N44" si="16">SUM(E30)+(F30*3)*1.03</f>
        <v>0</v>
      </c>
      <c r="O30" s="369"/>
      <c r="P30" s="369"/>
      <c r="Q30" s="369"/>
      <c r="R30" s="369"/>
      <c r="S30" s="369"/>
    </row>
    <row r="31" spans="1:19" x14ac:dyDescent="0.3">
      <c r="A31" s="293" t="s">
        <v>333</v>
      </c>
      <c r="B31" s="293">
        <v>3</v>
      </c>
      <c r="C31" s="323">
        <v>87</v>
      </c>
      <c r="D31" s="295">
        <v>0</v>
      </c>
      <c r="E31" s="295">
        <v>0</v>
      </c>
      <c r="F31" s="295">
        <f t="shared" si="15"/>
        <v>0</v>
      </c>
      <c r="G31" s="295"/>
      <c r="H31" s="305">
        <f>D31*$O$7</f>
        <v>0</v>
      </c>
      <c r="I31" s="296">
        <v>100</v>
      </c>
      <c r="J31" s="306">
        <f t="shared" si="14"/>
        <v>8.3333333333333339</v>
      </c>
      <c r="L31" s="369"/>
      <c r="M31" s="369"/>
      <c r="N31" s="369">
        <f t="shared" si="16"/>
        <v>0</v>
      </c>
      <c r="O31" s="369"/>
      <c r="P31" s="369"/>
      <c r="Q31" s="369"/>
      <c r="R31" s="369"/>
      <c r="S31" s="369"/>
    </row>
    <row r="32" spans="1:19" x14ac:dyDescent="0.3">
      <c r="A32" s="293" t="s">
        <v>276</v>
      </c>
      <c r="B32" s="293">
        <v>3</v>
      </c>
      <c r="C32" s="323">
        <f>71690.25+3053</f>
        <v>74743.25</v>
      </c>
      <c r="D32" s="295">
        <v>0</v>
      </c>
      <c r="E32" s="295">
        <v>0</v>
      </c>
      <c r="F32" s="295">
        <f t="shared" si="15"/>
        <v>0</v>
      </c>
      <c r="G32" s="295"/>
      <c r="H32" s="305" t="e">
        <f>D32*#REF!</f>
        <v>#REF!</v>
      </c>
      <c r="I32" s="305">
        <v>2520</v>
      </c>
      <c r="J32" s="306">
        <f t="shared" si="14"/>
        <v>210</v>
      </c>
      <c r="K32" s="321" t="s">
        <v>639</v>
      </c>
      <c r="L32" s="369"/>
      <c r="M32" s="369"/>
      <c r="N32" s="369">
        <f>(I13-I7)*(1)*0.05</f>
        <v>-2516</v>
      </c>
      <c r="O32" s="369"/>
      <c r="P32" s="369"/>
      <c r="Q32" s="369"/>
      <c r="R32" s="369"/>
      <c r="S32" s="369"/>
    </row>
    <row r="33" spans="1:19" hidden="1" x14ac:dyDescent="0.3">
      <c r="A33" s="293" t="s">
        <v>364</v>
      </c>
      <c r="B33" s="293"/>
      <c r="C33" s="323"/>
      <c r="D33" s="295">
        <v>0</v>
      </c>
      <c r="E33" s="295">
        <v>0</v>
      </c>
      <c r="F33" s="295">
        <f t="shared" si="15"/>
        <v>0</v>
      </c>
      <c r="G33" s="295"/>
      <c r="H33" s="305"/>
      <c r="I33" s="296">
        <v>0</v>
      </c>
      <c r="J33" s="306">
        <f t="shared" si="14"/>
        <v>0</v>
      </c>
      <c r="L33" s="369"/>
      <c r="M33" s="369"/>
      <c r="N33" s="369">
        <f t="shared" si="16"/>
        <v>0</v>
      </c>
      <c r="O33" s="369"/>
      <c r="P33" s="369"/>
      <c r="Q33" s="369"/>
      <c r="R33" s="369"/>
      <c r="S33" s="369"/>
    </row>
    <row r="34" spans="1:19" hidden="1" x14ac:dyDescent="0.3">
      <c r="A34" s="293" t="s">
        <v>305</v>
      </c>
      <c r="B34" s="293">
        <v>3</v>
      </c>
      <c r="C34" s="323">
        <f>86765.11+45177</f>
        <v>131942.10999999999</v>
      </c>
      <c r="D34" s="295">
        <v>0</v>
      </c>
      <c r="E34" s="295">
        <v>0</v>
      </c>
      <c r="F34" s="295">
        <f t="shared" si="15"/>
        <v>0</v>
      </c>
      <c r="G34" s="295"/>
      <c r="H34" s="305">
        <f t="shared" ref="H34:H44" si="17">D34*$O$7</f>
        <v>0</v>
      </c>
      <c r="I34" s="305">
        <v>0</v>
      </c>
      <c r="J34" s="306">
        <f t="shared" si="14"/>
        <v>0</v>
      </c>
      <c r="L34" s="369"/>
      <c r="M34" s="369"/>
      <c r="N34" s="369">
        <f t="shared" si="16"/>
        <v>0</v>
      </c>
      <c r="O34" s="369"/>
      <c r="P34" s="369"/>
      <c r="Q34" s="369"/>
      <c r="R34" s="369"/>
      <c r="S34" s="369"/>
    </row>
    <row r="35" spans="1:19" x14ac:dyDescent="0.3">
      <c r="A35" s="293" t="s">
        <v>253</v>
      </c>
      <c r="B35" s="293"/>
      <c r="C35" s="323"/>
      <c r="D35" s="295">
        <v>0</v>
      </c>
      <c r="E35" s="295">
        <v>0</v>
      </c>
      <c r="F35" s="295">
        <f t="shared" si="15"/>
        <v>0</v>
      </c>
      <c r="G35" s="295"/>
      <c r="H35" s="305">
        <v>0</v>
      </c>
      <c r="I35" s="296">
        <v>100</v>
      </c>
      <c r="J35" s="306">
        <v>0</v>
      </c>
      <c r="L35" s="369"/>
      <c r="M35" s="369"/>
      <c r="N35" s="369">
        <f t="shared" si="16"/>
        <v>0</v>
      </c>
      <c r="O35" s="369"/>
      <c r="P35" s="369"/>
      <c r="Q35" s="369"/>
      <c r="R35" s="369"/>
      <c r="S35" s="369"/>
    </row>
    <row r="36" spans="1:19" x14ac:dyDescent="0.3">
      <c r="A36" s="293" t="s">
        <v>365</v>
      </c>
      <c r="B36" s="293">
        <v>3</v>
      </c>
      <c r="C36" s="323">
        <f>4247.25-1013</f>
        <v>3234.25</v>
      </c>
      <c r="D36" s="295">
        <v>0</v>
      </c>
      <c r="E36" s="295">
        <v>0</v>
      </c>
      <c r="F36" s="295">
        <f t="shared" si="15"/>
        <v>0</v>
      </c>
      <c r="G36" s="295"/>
      <c r="H36" s="305">
        <f t="shared" si="17"/>
        <v>0</v>
      </c>
      <c r="I36" s="305">
        <v>690</v>
      </c>
      <c r="J36" s="306">
        <f t="shared" si="14"/>
        <v>57.5</v>
      </c>
      <c r="L36" s="369"/>
      <c r="M36" s="369"/>
      <c r="N36" s="369">
        <f t="shared" si="16"/>
        <v>0</v>
      </c>
      <c r="O36" s="369"/>
      <c r="P36" s="369"/>
      <c r="Q36" s="369"/>
      <c r="R36" s="369"/>
      <c r="S36" s="369"/>
    </row>
    <row r="37" spans="1:19" x14ac:dyDescent="0.3">
      <c r="A37" s="293" t="s">
        <v>377</v>
      </c>
      <c r="B37" s="293">
        <v>3</v>
      </c>
      <c r="C37" s="323">
        <f>13284.5+667</f>
        <v>13951.5</v>
      </c>
      <c r="D37" s="295">
        <v>0</v>
      </c>
      <c r="E37" s="295">
        <v>0</v>
      </c>
      <c r="F37" s="295">
        <f t="shared" si="15"/>
        <v>0</v>
      </c>
      <c r="G37" s="295"/>
      <c r="H37" s="305">
        <f t="shared" si="17"/>
        <v>0</v>
      </c>
      <c r="I37" s="296">
        <v>100</v>
      </c>
      <c r="J37" s="306">
        <f t="shared" si="14"/>
        <v>8.3333333333333339</v>
      </c>
      <c r="L37" s="369"/>
      <c r="M37" s="369"/>
      <c r="N37" s="369">
        <f t="shared" si="16"/>
        <v>0</v>
      </c>
      <c r="O37" s="369"/>
      <c r="P37" s="369"/>
      <c r="Q37" s="369"/>
      <c r="R37" s="369"/>
      <c r="S37" s="369"/>
    </row>
    <row r="38" spans="1:19" hidden="1" x14ac:dyDescent="0.3">
      <c r="A38" s="293" t="s">
        <v>337</v>
      </c>
      <c r="B38" s="293">
        <v>3</v>
      </c>
      <c r="C38" s="323">
        <f>1713.84+907</f>
        <v>2620.84</v>
      </c>
      <c r="D38" s="295">
        <v>0</v>
      </c>
      <c r="E38" s="295">
        <v>0</v>
      </c>
      <c r="F38" s="295">
        <f t="shared" si="15"/>
        <v>0</v>
      </c>
      <c r="G38" s="295"/>
      <c r="H38" s="305">
        <f t="shared" si="17"/>
        <v>0</v>
      </c>
      <c r="I38" s="305">
        <v>0</v>
      </c>
      <c r="J38" s="306">
        <f t="shared" si="14"/>
        <v>0</v>
      </c>
      <c r="L38" s="369"/>
      <c r="M38" s="369"/>
      <c r="N38" s="369">
        <f t="shared" si="16"/>
        <v>0</v>
      </c>
      <c r="O38" s="369"/>
      <c r="P38" s="369"/>
      <c r="Q38" s="369"/>
      <c r="R38" s="369"/>
      <c r="S38" s="369"/>
    </row>
    <row r="39" spans="1:19" hidden="1" x14ac:dyDescent="0.3">
      <c r="A39" s="293" t="s">
        <v>338</v>
      </c>
      <c r="B39" s="293">
        <v>3</v>
      </c>
      <c r="C39" s="323">
        <f>755.65+3</f>
        <v>758.65</v>
      </c>
      <c r="D39" s="295">
        <v>0</v>
      </c>
      <c r="E39" s="295">
        <v>0</v>
      </c>
      <c r="F39" s="295">
        <f t="shared" si="15"/>
        <v>0</v>
      </c>
      <c r="G39" s="295"/>
      <c r="H39" s="305">
        <f t="shared" si="17"/>
        <v>0</v>
      </c>
      <c r="I39" s="296">
        <v>0</v>
      </c>
      <c r="J39" s="306">
        <f t="shared" si="14"/>
        <v>0</v>
      </c>
      <c r="L39" s="369"/>
      <c r="M39" s="369"/>
      <c r="N39" s="369">
        <f t="shared" si="16"/>
        <v>0</v>
      </c>
      <c r="O39" s="369"/>
      <c r="P39" s="369"/>
      <c r="Q39" s="369"/>
      <c r="R39" s="369"/>
      <c r="S39" s="369"/>
    </row>
    <row r="40" spans="1:19" ht="39" x14ac:dyDescent="0.3">
      <c r="A40" s="293" t="s">
        <v>278</v>
      </c>
      <c r="B40" s="293">
        <v>3</v>
      </c>
      <c r="C40" s="323">
        <f>6528.88+227</f>
        <v>6755.88</v>
      </c>
      <c r="D40" s="295">
        <v>0</v>
      </c>
      <c r="E40" s="295">
        <v>0</v>
      </c>
      <c r="F40" s="295">
        <f t="shared" si="15"/>
        <v>0</v>
      </c>
      <c r="G40" s="295"/>
      <c r="H40" s="305">
        <f t="shared" si="17"/>
        <v>0</v>
      </c>
      <c r="I40" s="305">
        <v>410</v>
      </c>
      <c r="J40" s="306">
        <f t="shared" si="14"/>
        <v>34.166666666666664</v>
      </c>
      <c r="K40" s="279" t="s">
        <v>643</v>
      </c>
      <c r="L40" s="369"/>
      <c r="M40" s="369"/>
      <c r="N40" s="369">
        <f t="shared" si="16"/>
        <v>0</v>
      </c>
      <c r="O40" s="369"/>
      <c r="P40" s="369"/>
      <c r="Q40" s="369"/>
      <c r="R40" s="369"/>
      <c r="S40" s="369"/>
    </row>
    <row r="41" spans="1:19" x14ac:dyDescent="0.3">
      <c r="A41" s="293" t="s">
        <v>378</v>
      </c>
      <c r="B41" s="293">
        <v>3</v>
      </c>
      <c r="C41" s="323">
        <f>14709.67-4399</f>
        <v>10310.67</v>
      </c>
      <c r="D41" s="295">
        <v>0</v>
      </c>
      <c r="E41" s="295">
        <v>10567</v>
      </c>
      <c r="F41" s="295">
        <f t="shared" si="15"/>
        <v>1174.1111111111111</v>
      </c>
      <c r="G41" s="295"/>
      <c r="H41" s="305">
        <f t="shared" si="17"/>
        <v>0</v>
      </c>
      <c r="I41" s="296">
        <v>350</v>
      </c>
      <c r="J41" s="306">
        <f t="shared" si="14"/>
        <v>29.166666666666668</v>
      </c>
      <c r="K41" s="273" t="s">
        <v>615</v>
      </c>
      <c r="L41" s="370"/>
      <c r="M41" s="369"/>
      <c r="N41" s="369">
        <f t="shared" si="16"/>
        <v>14195.003333333334</v>
      </c>
      <c r="O41" s="369"/>
      <c r="P41" s="369"/>
      <c r="Q41" s="369"/>
      <c r="R41" s="369"/>
      <c r="S41" s="369"/>
    </row>
    <row r="42" spans="1:19" hidden="1" x14ac:dyDescent="0.3">
      <c r="A42" s="293" t="s">
        <v>226</v>
      </c>
      <c r="B42" s="293">
        <v>3</v>
      </c>
      <c r="C42" s="323">
        <f>2291.73+4203</f>
        <v>6494.73</v>
      </c>
      <c r="D42" s="295">
        <v>0</v>
      </c>
      <c r="E42" s="295">
        <v>0</v>
      </c>
      <c r="F42" s="295">
        <f t="shared" si="15"/>
        <v>0</v>
      </c>
      <c r="G42" s="295"/>
      <c r="H42" s="305">
        <f t="shared" si="17"/>
        <v>0</v>
      </c>
      <c r="I42" s="305">
        <v>0</v>
      </c>
      <c r="J42" s="306">
        <f t="shared" si="14"/>
        <v>0</v>
      </c>
      <c r="L42" s="369"/>
      <c r="M42" s="369"/>
      <c r="N42" s="369">
        <f t="shared" si="16"/>
        <v>0</v>
      </c>
      <c r="O42" s="369"/>
      <c r="P42" s="369"/>
      <c r="Q42" s="369"/>
      <c r="R42" s="369"/>
      <c r="S42" s="369"/>
    </row>
    <row r="43" spans="1:19" hidden="1" x14ac:dyDescent="0.3">
      <c r="A43" s="293" t="s">
        <v>461</v>
      </c>
      <c r="B43" s="293"/>
      <c r="C43" s="323"/>
      <c r="D43" s="295">
        <v>0</v>
      </c>
      <c r="E43" s="295">
        <v>0</v>
      </c>
      <c r="F43" s="295">
        <f t="shared" si="15"/>
        <v>0</v>
      </c>
      <c r="G43" s="295"/>
      <c r="H43" s="305">
        <f t="shared" si="17"/>
        <v>0</v>
      </c>
      <c r="I43" s="305">
        <v>0</v>
      </c>
      <c r="J43" s="306">
        <f t="shared" si="14"/>
        <v>0</v>
      </c>
      <c r="L43" s="369"/>
      <c r="M43" s="369"/>
      <c r="N43" s="369">
        <f t="shared" si="16"/>
        <v>0</v>
      </c>
      <c r="O43" s="369"/>
      <c r="P43" s="369"/>
      <c r="Q43" s="369"/>
      <c r="R43" s="369"/>
      <c r="S43" s="369"/>
    </row>
    <row r="44" spans="1:19" x14ac:dyDescent="0.3">
      <c r="A44" s="293" t="s">
        <v>279</v>
      </c>
      <c r="B44" s="293">
        <v>3</v>
      </c>
      <c r="C44" s="365">
        <f>4190.6+3</f>
        <v>4193.6000000000004</v>
      </c>
      <c r="D44" s="300">
        <v>0</v>
      </c>
      <c r="E44" s="300">
        <v>0</v>
      </c>
      <c r="F44" s="300">
        <f>E44/9</f>
        <v>0</v>
      </c>
      <c r="G44" s="295"/>
      <c r="H44" s="309">
        <f t="shared" si="17"/>
        <v>0</v>
      </c>
      <c r="I44" s="309">
        <v>350</v>
      </c>
      <c r="J44" s="310">
        <f t="shared" si="14"/>
        <v>29.166666666666668</v>
      </c>
      <c r="L44" s="369"/>
      <c r="M44" s="369"/>
      <c r="N44" s="369">
        <f t="shared" si="16"/>
        <v>0</v>
      </c>
      <c r="O44" s="369"/>
      <c r="P44" s="369"/>
      <c r="Q44" s="369"/>
      <c r="R44" s="369"/>
      <c r="S44" s="369"/>
    </row>
    <row r="45" spans="1:19" x14ac:dyDescent="0.3">
      <c r="A45" s="304" t="s">
        <v>88</v>
      </c>
      <c r="B45" s="293"/>
      <c r="C45" s="295">
        <f>SUM(C27:C44)</f>
        <v>384687.69999999995</v>
      </c>
      <c r="D45" s="295">
        <f>SUM(D26:D44)</f>
        <v>0</v>
      </c>
      <c r="E45" s="295">
        <f>SUM(E26:E44)</f>
        <v>10570</v>
      </c>
      <c r="F45" s="295">
        <f>SUM(F26:F44)</f>
        <v>1174.4444444444443</v>
      </c>
      <c r="G45" s="295"/>
      <c r="H45" s="305" t="e">
        <f>SUM(H26:H44)</f>
        <v>#REF!</v>
      </c>
      <c r="I45" s="305">
        <f>SUM(I26:I44)</f>
        <v>4690</v>
      </c>
      <c r="J45" s="306">
        <f>SUM(J26:J44)</f>
        <v>382.5</v>
      </c>
      <c r="L45" s="369"/>
      <c r="M45" s="369"/>
      <c r="N45" s="369"/>
      <c r="O45" s="369"/>
      <c r="P45" s="369"/>
      <c r="Q45" s="369"/>
      <c r="R45" s="369"/>
      <c r="S45" s="369"/>
    </row>
    <row r="46" spans="1:19" x14ac:dyDescent="0.3">
      <c r="A46" s="293"/>
      <c r="B46" s="293"/>
      <c r="C46" s="295"/>
      <c r="D46" s="295"/>
      <c r="E46" s="295"/>
      <c r="F46" s="295"/>
      <c r="G46" s="295"/>
      <c r="H46" s="305"/>
      <c r="I46" s="305"/>
      <c r="J46" s="306"/>
      <c r="M46" s="369"/>
      <c r="N46" s="369"/>
      <c r="O46" s="369"/>
      <c r="P46" s="369"/>
      <c r="Q46" s="369"/>
      <c r="R46" s="369"/>
      <c r="S46" s="369"/>
    </row>
    <row r="47" spans="1:19" x14ac:dyDescent="0.3">
      <c r="A47" s="304" t="s">
        <v>455</v>
      </c>
      <c r="B47" s="293"/>
      <c r="C47" s="295"/>
      <c r="D47" s="295"/>
      <c r="E47" s="295"/>
      <c r="F47" s="295"/>
      <c r="G47" s="295"/>
      <c r="H47" s="305"/>
      <c r="I47" s="305"/>
      <c r="J47" s="306"/>
      <c r="L47" s="369"/>
      <c r="M47" s="369"/>
      <c r="N47" s="369"/>
      <c r="O47" s="369"/>
      <c r="P47" s="369"/>
      <c r="Q47" s="369"/>
      <c r="R47" s="369"/>
      <c r="S47" s="369"/>
    </row>
    <row r="48" spans="1:19" x14ac:dyDescent="0.3">
      <c r="A48" s="293" t="s">
        <v>227</v>
      </c>
      <c r="B48" s="293">
        <v>3</v>
      </c>
      <c r="C48" s="323">
        <f>56950.41+3891</f>
        <v>60841.41</v>
      </c>
      <c r="D48" s="285">
        <v>0</v>
      </c>
      <c r="E48" s="295">
        <v>32</v>
      </c>
      <c r="F48" s="295">
        <f>E48/9</f>
        <v>3.5555555555555554</v>
      </c>
      <c r="G48" s="295"/>
      <c r="H48" s="305">
        <f>D48*$O$48</f>
        <v>0</v>
      </c>
      <c r="I48" s="305">
        <v>760</v>
      </c>
      <c r="J48" s="306">
        <f t="shared" ref="J48:J51" si="18">I48/12</f>
        <v>63.333333333333336</v>
      </c>
      <c r="K48" s="273" t="s">
        <v>530</v>
      </c>
      <c r="L48" s="370"/>
      <c r="N48" s="369"/>
      <c r="O48" s="381">
        <v>7.0000000000000007E-2</v>
      </c>
      <c r="P48" s="369"/>
      <c r="Q48" s="369"/>
      <c r="R48" s="369"/>
      <c r="S48" s="369"/>
    </row>
    <row r="49" spans="1:19" x14ac:dyDescent="0.3">
      <c r="A49" s="293" t="s">
        <v>47</v>
      </c>
      <c r="B49" s="293">
        <v>3</v>
      </c>
      <c r="C49" s="323">
        <f>24876.05-105</f>
        <v>24771.05</v>
      </c>
      <c r="D49" s="285">
        <v>0</v>
      </c>
      <c r="E49" s="295">
        <v>0</v>
      </c>
      <c r="F49" s="295">
        <f t="shared" ref="F49:F50" si="19">E49/9</f>
        <v>0</v>
      </c>
      <c r="G49" s="295"/>
      <c r="H49" s="305">
        <f>D49*$O$49</f>
        <v>0</v>
      </c>
      <c r="I49" s="305">
        <v>2320</v>
      </c>
      <c r="J49" s="306">
        <f t="shared" si="18"/>
        <v>193.33333333333334</v>
      </c>
      <c r="K49" s="273" t="s">
        <v>531</v>
      </c>
      <c r="L49" s="370"/>
      <c r="N49" s="369">
        <f>SUM((E49+(F49*3))*1.04)</f>
        <v>0</v>
      </c>
      <c r="O49" s="381">
        <v>0.05</v>
      </c>
      <c r="P49" s="369"/>
      <c r="Q49" s="369"/>
      <c r="R49" s="369"/>
      <c r="S49" s="369"/>
    </row>
    <row r="50" spans="1:19" x14ac:dyDescent="0.3">
      <c r="A50" s="293" t="s">
        <v>48</v>
      </c>
      <c r="B50" s="293">
        <v>3</v>
      </c>
      <c r="C50" s="323">
        <f>24845.71+7959</f>
        <v>32804.71</v>
      </c>
      <c r="D50" s="285">
        <v>0</v>
      </c>
      <c r="E50" s="295">
        <v>19</v>
      </c>
      <c r="F50" s="295">
        <f t="shared" si="19"/>
        <v>2.1111111111111112</v>
      </c>
      <c r="G50" s="295"/>
      <c r="H50" s="305">
        <f>D50*$O$50</f>
        <v>0</v>
      </c>
      <c r="I50" s="305">
        <v>330</v>
      </c>
      <c r="J50" s="306">
        <f t="shared" si="18"/>
        <v>27.5</v>
      </c>
      <c r="K50" s="273" t="s">
        <v>590</v>
      </c>
      <c r="L50" s="370"/>
      <c r="N50" s="369">
        <f>SUM((E50+(F50*3))*1.05)</f>
        <v>26.600000000000005</v>
      </c>
      <c r="O50" s="381">
        <v>7.0000000000000007E-2</v>
      </c>
      <c r="P50" s="369"/>
      <c r="Q50" s="369"/>
      <c r="R50" s="369"/>
      <c r="S50" s="369"/>
    </row>
    <row r="51" spans="1:19" x14ac:dyDescent="0.3">
      <c r="A51" s="293" t="s">
        <v>49</v>
      </c>
      <c r="B51" s="293">
        <v>3</v>
      </c>
      <c r="C51" s="365">
        <f>12400.96+1541</f>
        <v>13941.96</v>
      </c>
      <c r="D51" s="300">
        <v>0</v>
      </c>
      <c r="E51" s="300">
        <v>0</v>
      </c>
      <c r="F51" s="300">
        <f>E51/9</f>
        <v>0</v>
      </c>
      <c r="G51" s="295"/>
      <c r="H51" s="309">
        <f>D51*$O$51</f>
        <v>0</v>
      </c>
      <c r="I51" s="309">
        <v>1300</v>
      </c>
      <c r="J51" s="310">
        <f t="shared" si="18"/>
        <v>108.33333333333333</v>
      </c>
      <c r="K51" s="273" t="s">
        <v>531</v>
      </c>
      <c r="L51" s="370"/>
      <c r="N51" s="369">
        <f>SUM((E51+(F51*3))*1.04)</f>
        <v>0</v>
      </c>
      <c r="O51" s="381">
        <v>0.05</v>
      </c>
      <c r="P51" s="369"/>
      <c r="Q51" s="369"/>
      <c r="R51" s="369"/>
      <c r="S51" s="369"/>
    </row>
    <row r="52" spans="1:19" x14ac:dyDescent="0.3">
      <c r="A52" s="304" t="s">
        <v>307</v>
      </c>
      <c r="B52" s="293"/>
      <c r="C52" s="295">
        <f>SUM(C48:C51)</f>
        <v>132359.13</v>
      </c>
      <c r="D52" s="295">
        <f>SUM(D48:D51)</f>
        <v>0</v>
      </c>
      <c r="E52" s="295">
        <f>SUM(E48:E51)</f>
        <v>51</v>
      </c>
      <c r="F52" s="295">
        <f>SUM(F48:F51)</f>
        <v>5.6666666666666661</v>
      </c>
      <c r="G52" s="295"/>
      <c r="H52" s="305">
        <f>SUM(H48:H51)</f>
        <v>0</v>
      </c>
      <c r="I52" s="305">
        <f>SUM(I48:I51)</f>
        <v>4710</v>
      </c>
      <c r="J52" s="306">
        <f t="shared" si="14"/>
        <v>392.5</v>
      </c>
      <c r="L52" s="370"/>
      <c r="M52" s="369"/>
      <c r="N52" s="369"/>
      <c r="O52" s="369"/>
      <c r="P52" s="369"/>
      <c r="Q52" s="369"/>
      <c r="R52" s="369"/>
      <c r="S52" s="369"/>
    </row>
    <row r="53" spans="1:19" x14ac:dyDescent="0.3">
      <c r="A53" s="293"/>
      <c r="B53" s="293"/>
      <c r="C53" s="295"/>
      <c r="D53" s="295"/>
      <c r="E53" s="295"/>
      <c r="F53" s="295"/>
      <c r="G53" s="295"/>
      <c r="H53" s="305"/>
      <c r="I53" s="305"/>
      <c r="J53" s="306"/>
      <c r="L53" s="370"/>
      <c r="M53" s="369"/>
      <c r="N53" s="369"/>
      <c r="O53" s="369"/>
      <c r="P53" s="369"/>
      <c r="Q53" s="369"/>
      <c r="R53" s="369"/>
      <c r="S53" s="369"/>
    </row>
    <row r="54" spans="1:19" x14ac:dyDescent="0.3">
      <c r="A54" s="304" t="s">
        <v>456</v>
      </c>
      <c r="B54" s="293"/>
      <c r="C54" s="295"/>
      <c r="D54" s="295"/>
      <c r="E54" s="295"/>
      <c r="F54" s="295"/>
      <c r="G54" s="295"/>
      <c r="H54" s="305"/>
      <c r="I54" s="305"/>
      <c r="J54" s="306"/>
      <c r="L54" s="370"/>
      <c r="M54" s="369"/>
      <c r="N54" s="369"/>
      <c r="O54" s="369"/>
      <c r="P54" s="369"/>
      <c r="Q54" s="369"/>
      <c r="R54" s="369"/>
      <c r="S54" s="369"/>
    </row>
    <row r="55" spans="1:19" hidden="1" x14ac:dyDescent="0.3">
      <c r="A55" s="293" t="s">
        <v>50</v>
      </c>
      <c r="B55" s="293">
        <v>3</v>
      </c>
      <c r="C55" s="323">
        <f>2921.33+807</f>
        <v>3728.33</v>
      </c>
      <c r="D55" s="285">
        <v>0</v>
      </c>
      <c r="E55" s="295">
        <v>0</v>
      </c>
      <c r="F55" s="295">
        <f>E55/9</f>
        <v>0</v>
      </c>
      <c r="G55" s="295"/>
      <c r="H55" s="305">
        <f t="shared" ref="H55:H69" si="20">D55*$O$7</f>
        <v>0</v>
      </c>
      <c r="I55" s="305">
        <v>0</v>
      </c>
      <c r="J55" s="306">
        <f t="shared" si="14"/>
        <v>0</v>
      </c>
      <c r="M55" s="369"/>
      <c r="N55" s="369"/>
      <c r="O55" s="369"/>
      <c r="P55" s="369"/>
      <c r="Q55" s="369"/>
      <c r="R55" s="369"/>
      <c r="S55" s="369"/>
    </row>
    <row r="56" spans="1:19" hidden="1" x14ac:dyDescent="0.3">
      <c r="A56" s="293" t="s">
        <v>379</v>
      </c>
      <c r="B56" s="293">
        <v>3</v>
      </c>
      <c r="C56" s="323">
        <f>41613.62+589</f>
        <v>42202.62</v>
      </c>
      <c r="D56" s="285">
        <v>0</v>
      </c>
      <c r="E56" s="295">
        <v>0</v>
      </c>
      <c r="F56" s="295">
        <f t="shared" ref="F56:F68" si="21">E56/9</f>
        <v>0</v>
      </c>
      <c r="G56" s="295"/>
      <c r="H56" s="305">
        <f t="shared" si="20"/>
        <v>0</v>
      </c>
      <c r="I56" s="305">
        <v>0</v>
      </c>
      <c r="J56" s="306">
        <f t="shared" si="14"/>
        <v>0</v>
      </c>
      <c r="L56" s="369"/>
      <c r="M56" s="369"/>
      <c r="N56" s="369">
        <f t="shared" ref="N56:N69" si="22">SUM(E56)+(F56*3)*1.03</f>
        <v>0</v>
      </c>
      <c r="O56" s="369"/>
      <c r="P56" s="369"/>
      <c r="Q56" s="369"/>
      <c r="R56" s="369"/>
      <c r="S56" s="369"/>
    </row>
    <row r="57" spans="1:19" x14ac:dyDescent="0.3">
      <c r="A57" s="293" t="s">
        <v>346</v>
      </c>
      <c r="B57" s="293">
        <v>3</v>
      </c>
      <c r="C57" s="323">
        <f>4277+63</f>
        <v>4340</v>
      </c>
      <c r="D57" s="285">
        <v>0</v>
      </c>
      <c r="E57" s="295">
        <v>0</v>
      </c>
      <c r="F57" s="295">
        <f t="shared" si="21"/>
        <v>0</v>
      </c>
      <c r="G57" s="295"/>
      <c r="H57" s="305">
        <f t="shared" si="20"/>
        <v>0</v>
      </c>
      <c r="I57" s="305">
        <v>220</v>
      </c>
      <c r="J57" s="306">
        <f t="shared" si="14"/>
        <v>18.333333333333332</v>
      </c>
      <c r="L57" s="369"/>
      <c r="M57" s="369"/>
      <c r="N57" s="369">
        <f t="shared" si="22"/>
        <v>0</v>
      </c>
      <c r="O57" s="369"/>
      <c r="P57" s="369"/>
      <c r="Q57" s="369"/>
      <c r="R57" s="369"/>
      <c r="S57" s="369"/>
    </row>
    <row r="58" spans="1:19" x14ac:dyDescent="0.3">
      <c r="A58" s="293" t="s">
        <v>53</v>
      </c>
      <c r="B58" s="293">
        <v>3</v>
      </c>
      <c r="C58" s="323">
        <f>4502.12+1207</f>
        <v>5709.12</v>
      </c>
      <c r="D58" s="285">
        <v>0</v>
      </c>
      <c r="E58" s="295">
        <v>0</v>
      </c>
      <c r="F58" s="295">
        <f t="shared" si="21"/>
        <v>0</v>
      </c>
      <c r="G58" s="295"/>
      <c r="H58" s="305">
        <f t="shared" si="20"/>
        <v>0</v>
      </c>
      <c r="I58" s="305">
        <v>900</v>
      </c>
      <c r="J58" s="306">
        <f t="shared" si="14"/>
        <v>75</v>
      </c>
      <c r="L58" s="369"/>
      <c r="M58" s="369"/>
      <c r="N58" s="369">
        <f t="shared" si="22"/>
        <v>0</v>
      </c>
      <c r="O58" s="369"/>
      <c r="P58" s="369"/>
      <c r="Q58" s="369"/>
      <c r="R58" s="369"/>
      <c r="S58" s="369"/>
    </row>
    <row r="59" spans="1:19" hidden="1" x14ac:dyDescent="0.3">
      <c r="A59" s="293" t="s">
        <v>243</v>
      </c>
      <c r="B59" s="293">
        <v>3</v>
      </c>
      <c r="C59" s="323">
        <f>160.09+713</f>
        <v>873.09</v>
      </c>
      <c r="D59" s="285">
        <v>0</v>
      </c>
      <c r="E59" s="295">
        <f t="shared" ref="E59:E95" si="23">D59/12</f>
        <v>0</v>
      </c>
      <c r="F59" s="295">
        <f t="shared" si="21"/>
        <v>0</v>
      </c>
      <c r="G59" s="295"/>
      <c r="H59" s="305">
        <f t="shared" si="20"/>
        <v>0</v>
      </c>
      <c r="I59" s="305">
        <f t="shared" ref="I59:I95" si="24">D59+H59</f>
        <v>0</v>
      </c>
      <c r="J59" s="306">
        <f t="shared" si="14"/>
        <v>0</v>
      </c>
      <c r="L59" s="369"/>
      <c r="M59" s="369"/>
      <c r="N59" s="369">
        <f t="shared" si="22"/>
        <v>0</v>
      </c>
      <c r="O59" s="369"/>
      <c r="P59" s="369"/>
      <c r="Q59" s="369"/>
      <c r="R59" s="369"/>
      <c r="S59" s="369"/>
    </row>
    <row r="60" spans="1:19" x14ac:dyDescent="0.3">
      <c r="A60" s="293" t="s">
        <v>311</v>
      </c>
      <c r="B60" s="293">
        <v>3</v>
      </c>
      <c r="C60" s="323">
        <f>18486.48+2777</f>
        <v>21263.48</v>
      </c>
      <c r="D60" s="285">
        <v>0</v>
      </c>
      <c r="E60" s="295">
        <v>3420</v>
      </c>
      <c r="F60" s="295">
        <f t="shared" si="21"/>
        <v>380</v>
      </c>
      <c r="G60" s="295"/>
      <c r="H60" s="305">
        <f t="shared" si="20"/>
        <v>0</v>
      </c>
      <c r="I60" s="305">
        <v>2070</v>
      </c>
      <c r="J60" s="306">
        <f t="shared" si="14"/>
        <v>172.5</v>
      </c>
      <c r="K60" s="273" t="s">
        <v>437</v>
      </c>
      <c r="L60" s="370"/>
      <c r="M60" s="369"/>
      <c r="N60" s="369">
        <f t="shared" si="22"/>
        <v>4594.2</v>
      </c>
      <c r="O60" s="369"/>
      <c r="P60" s="369"/>
      <c r="Q60" s="369"/>
      <c r="R60" s="369"/>
      <c r="S60" s="369"/>
    </row>
    <row r="61" spans="1:19" x14ac:dyDescent="0.3">
      <c r="A61" s="293" t="s">
        <v>257</v>
      </c>
      <c r="B61" s="293">
        <v>3</v>
      </c>
      <c r="C61" s="323">
        <f>56966.48-5005</f>
        <v>51961.48</v>
      </c>
      <c r="D61" s="285">
        <v>0</v>
      </c>
      <c r="E61" s="295">
        <v>310</v>
      </c>
      <c r="F61" s="295">
        <f t="shared" si="21"/>
        <v>34.444444444444443</v>
      </c>
      <c r="G61" s="295"/>
      <c r="H61" s="305">
        <f t="shared" si="20"/>
        <v>0</v>
      </c>
      <c r="I61" s="305">
        <v>2700</v>
      </c>
      <c r="J61" s="306">
        <f t="shared" si="14"/>
        <v>225</v>
      </c>
      <c r="L61" s="369"/>
      <c r="M61" s="369"/>
      <c r="N61" s="369">
        <f t="shared" si="22"/>
        <v>416.43333333333334</v>
      </c>
      <c r="O61" s="369"/>
      <c r="P61" s="369"/>
      <c r="Q61" s="369"/>
      <c r="R61" s="369"/>
      <c r="S61" s="369"/>
    </row>
    <row r="62" spans="1:19" x14ac:dyDescent="0.3">
      <c r="A62" s="293" t="s">
        <v>55</v>
      </c>
      <c r="B62" s="293">
        <v>3</v>
      </c>
      <c r="C62" s="323">
        <f>136422.19-26033</f>
        <v>110389.19</v>
      </c>
      <c r="D62" s="285">
        <v>0</v>
      </c>
      <c r="E62" s="295">
        <v>534</v>
      </c>
      <c r="F62" s="295">
        <f t="shared" si="21"/>
        <v>59.333333333333336</v>
      </c>
      <c r="G62" s="295"/>
      <c r="H62" s="305">
        <f t="shared" si="20"/>
        <v>0</v>
      </c>
      <c r="I62" s="305">
        <f>2250+1900</f>
        <v>4150</v>
      </c>
      <c r="J62" s="306">
        <f t="shared" si="14"/>
        <v>345.83333333333331</v>
      </c>
      <c r="K62" s="273" t="s">
        <v>667</v>
      </c>
      <c r="L62" s="369"/>
      <c r="M62" s="369"/>
      <c r="N62" s="369">
        <f t="shared" si="22"/>
        <v>717.34</v>
      </c>
      <c r="O62" s="369"/>
      <c r="P62" s="369"/>
      <c r="Q62" s="369"/>
      <c r="R62" s="369"/>
      <c r="S62" s="369"/>
    </row>
    <row r="63" spans="1:19" x14ac:dyDescent="0.3">
      <c r="A63" s="293" t="s">
        <v>526</v>
      </c>
      <c r="B63" s="293"/>
      <c r="C63" s="323"/>
      <c r="D63" s="285">
        <v>0</v>
      </c>
      <c r="E63" s="295">
        <v>0</v>
      </c>
      <c r="F63" s="295">
        <f t="shared" si="21"/>
        <v>0</v>
      </c>
      <c r="G63" s="295"/>
      <c r="H63" s="305"/>
      <c r="I63" s="305">
        <v>1500</v>
      </c>
      <c r="J63" s="306">
        <f t="shared" si="14"/>
        <v>125</v>
      </c>
      <c r="K63" s="279" t="s">
        <v>623</v>
      </c>
      <c r="L63" s="369"/>
      <c r="M63" s="369"/>
      <c r="N63" s="369">
        <f t="shared" si="22"/>
        <v>0</v>
      </c>
      <c r="O63" s="369"/>
      <c r="P63" s="369"/>
      <c r="Q63" s="369"/>
      <c r="R63" s="369"/>
      <c r="S63" s="369"/>
    </row>
    <row r="64" spans="1:19" x14ac:dyDescent="0.3">
      <c r="A64" s="293" t="s">
        <v>527</v>
      </c>
      <c r="B64" s="293"/>
      <c r="C64" s="323"/>
      <c r="D64" s="285">
        <v>0</v>
      </c>
      <c r="E64" s="295">
        <v>0</v>
      </c>
      <c r="F64" s="295">
        <f t="shared" si="21"/>
        <v>0</v>
      </c>
      <c r="G64" s="295"/>
      <c r="H64" s="305"/>
      <c r="I64" s="305">
        <f>1500+1350</f>
        <v>2850</v>
      </c>
      <c r="J64" s="306">
        <f t="shared" si="14"/>
        <v>237.5</v>
      </c>
      <c r="K64" s="279" t="s">
        <v>623</v>
      </c>
      <c r="L64" s="369"/>
      <c r="M64" s="369"/>
      <c r="N64" s="369">
        <f t="shared" si="22"/>
        <v>0</v>
      </c>
      <c r="O64" s="369"/>
      <c r="P64" s="369"/>
      <c r="Q64" s="369"/>
      <c r="R64" s="369"/>
      <c r="S64" s="369"/>
    </row>
    <row r="65" spans="1:19" hidden="1" x14ac:dyDescent="0.3">
      <c r="A65" s="293" t="s">
        <v>228</v>
      </c>
      <c r="B65" s="293">
        <v>3</v>
      </c>
      <c r="C65" s="323">
        <f>7778.41+6203</f>
        <v>13981.41</v>
      </c>
      <c r="D65" s="285">
        <v>0</v>
      </c>
      <c r="E65" s="295">
        <v>0</v>
      </c>
      <c r="F65" s="295">
        <f t="shared" si="21"/>
        <v>0</v>
      </c>
      <c r="G65" s="295"/>
      <c r="H65" s="305">
        <v>0</v>
      </c>
      <c r="I65" s="305">
        <v>0</v>
      </c>
      <c r="J65" s="306">
        <f t="shared" si="14"/>
        <v>0</v>
      </c>
      <c r="L65" s="370"/>
      <c r="M65" s="369"/>
      <c r="N65" s="369">
        <f t="shared" si="22"/>
        <v>0</v>
      </c>
      <c r="O65" s="369"/>
      <c r="P65" s="369"/>
      <c r="Q65" s="369"/>
      <c r="R65" s="369"/>
      <c r="S65" s="369"/>
    </row>
    <row r="66" spans="1:19" hidden="1" x14ac:dyDescent="0.3">
      <c r="A66" s="293" t="s">
        <v>349</v>
      </c>
      <c r="B66" s="293">
        <v>3</v>
      </c>
      <c r="C66" s="323">
        <f>16043.56+1199</f>
        <v>17242.559999999998</v>
      </c>
      <c r="D66" s="285">
        <v>0</v>
      </c>
      <c r="E66" s="295">
        <v>0</v>
      </c>
      <c r="F66" s="295">
        <f t="shared" si="21"/>
        <v>0</v>
      </c>
      <c r="G66" s="295"/>
      <c r="H66" s="305">
        <f t="shared" si="20"/>
        <v>0</v>
      </c>
      <c r="I66" s="305">
        <v>0</v>
      </c>
      <c r="J66" s="306">
        <f t="shared" si="14"/>
        <v>0</v>
      </c>
      <c r="L66" s="369"/>
      <c r="M66" s="369"/>
      <c r="N66" s="369">
        <f t="shared" si="22"/>
        <v>0</v>
      </c>
      <c r="O66" s="369"/>
      <c r="P66" s="369"/>
      <c r="Q66" s="369"/>
      <c r="R66" s="369"/>
      <c r="S66" s="369"/>
    </row>
    <row r="67" spans="1:19" x14ac:dyDescent="0.3">
      <c r="A67" s="293" t="s">
        <v>57</v>
      </c>
      <c r="B67" s="293">
        <v>3</v>
      </c>
      <c r="C67" s="323">
        <f>10970.98-3107</f>
        <v>7863.98</v>
      </c>
      <c r="D67" s="285">
        <v>0</v>
      </c>
      <c r="E67" s="295">
        <v>0</v>
      </c>
      <c r="F67" s="295">
        <f t="shared" si="21"/>
        <v>0</v>
      </c>
      <c r="G67" s="295"/>
      <c r="H67" s="305">
        <f t="shared" si="20"/>
        <v>0</v>
      </c>
      <c r="I67" s="305">
        <v>720</v>
      </c>
      <c r="J67" s="306">
        <f t="shared" si="14"/>
        <v>60</v>
      </c>
      <c r="L67" s="369"/>
      <c r="M67" s="369"/>
      <c r="N67" s="369">
        <f t="shared" si="22"/>
        <v>0</v>
      </c>
      <c r="O67" s="369"/>
      <c r="P67" s="369"/>
      <c r="Q67" s="369"/>
      <c r="R67" s="369"/>
      <c r="S67" s="369"/>
    </row>
    <row r="68" spans="1:19" hidden="1" x14ac:dyDescent="0.3">
      <c r="A68" s="293" t="s">
        <v>462</v>
      </c>
      <c r="B68" s="293"/>
      <c r="C68" s="323"/>
      <c r="D68" s="285">
        <v>0</v>
      </c>
      <c r="E68" s="295"/>
      <c r="F68" s="295">
        <f t="shared" si="21"/>
        <v>0</v>
      </c>
      <c r="G68" s="295"/>
      <c r="H68" s="305">
        <f t="shared" si="20"/>
        <v>0</v>
      </c>
      <c r="I68" s="305">
        <v>0</v>
      </c>
      <c r="J68" s="306">
        <f t="shared" si="14"/>
        <v>0</v>
      </c>
      <c r="L68" s="369"/>
      <c r="M68" s="369"/>
      <c r="N68" s="369">
        <f t="shared" si="22"/>
        <v>0</v>
      </c>
      <c r="O68" s="369"/>
      <c r="P68" s="369"/>
      <c r="Q68" s="369"/>
      <c r="R68" s="369"/>
      <c r="S68" s="369"/>
    </row>
    <row r="69" spans="1:19" x14ac:dyDescent="0.3">
      <c r="A69" s="293" t="s">
        <v>56</v>
      </c>
      <c r="B69" s="293">
        <v>3</v>
      </c>
      <c r="C69" s="365">
        <v>203</v>
      </c>
      <c r="D69" s="300">
        <v>0</v>
      </c>
      <c r="E69" s="300">
        <v>0</v>
      </c>
      <c r="F69" s="300">
        <f>E69/9</f>
        <v>0</v>
      </c>
      <c r="G69" s="295"/>
      <c r="H69" s="309">
        <f t="shared" si="20"/>
        <v>0</v>
      </c>
      <c r="I69" s="309">
        <v>2400</v>
      </c>
      <c r="J69" s="310">
        <f t="shared" si="14"/>
        <v>200</v>
      </c>
      <c r="L69" s="369"/>
      <c r="M69" s="369"/>
      <c r="N69" s="369">
        <f t="shared" si="22"/>
        <v>0</v>
      </c>
      <c r="O69" s="369"/>
      <c r="P69" s="369"/>
      <c r="Q69" s="369"/>
      <c r="R69" s="369"/>
      <c r="S69" s="369"/>
    </row>
    <row r="70" spans="1:19" x14ac:dyDescent="0.3">
      <c r="A70" s="304" t="s">
        <v>91</v>
      </c>
      <c r="B70" s="293"/>
      <c r="C70" s="295">
        <f>SUM(C55:C69)</f>
        <v>279758.26</v>
      </c>
      <c r="D70" s="295">
        <f>SUM(D55:D69)</f>
        <v>0</v>
      </c>
      <c r="E70" s="295">
        <f>SUM(E55:E69)</f>
        <v>4264</v>
      </c>
      <c r="F70" s="295">
        <f>SUM(F55:F69)</f>
        <v>473.77777777777777</v>
      </c>
      <c r="G70" s="295"/>
      <c r="H70" s="305">
        <f>SUM(H55:H69)</f>
        <v>0</v>
      </c>
      <c r="I70" s="305">
        <f>SUM(I55:I69)</f>
        <v>17510</v>
      </c>
      <c r="J70" s="306">
        <f t="shared" si="14"/>
        <v>1459.1666666666667</v>
      </c>
      <c r="M70" s="369"/>
      <c r="N70" s="369"/>
      <c r="O70" s="369"/>
      <c r="P70" s="369"/>
      <c r="Q70" s="369"/>
      <c r="R70" s="369"/>
      <c r="S70" s="369"/>
    </row>
    <row r="71" spans="1:19" x14ac:dyDescent="0.3">
      <c r="A71" s="293"/>
      <c r="B71" s="293"/>
      <c r="C71" s="295"/>
      <c r="D71" s="295"/>
      <c r="E71" s="295"/>
      <c r="F71" s="295"/>
      <c r="G71" s="295"/>
      <c r="H71" s="305"/>
      <c r="I71" s="305"/>
      <c r="J71" s="306"/>
      <c r="L71" s="369"/>
      <c r="M71" s="369"/>
      <c r="N71" s="369"/>
      <c r="O71" s="369"/>
      <c r="P71" s="369"/>
      <c r="Q71" s="369"/>
      <c r="R71" s="369"/>
      <c r="S71" s="369"/>
    </row>
    <row r="72" spans="1:19" x14ac:dyDescent="0.3">
      <c r="A72" s="304" t="s">
        <v>457</v>
      </c>
      <c r="B72" s="293"/>
      <c r="C72" s="295"/>
      <c r="D72" s="295"/>
      <c r="E72" s="295"/>
      <c r="F72" s="295"/>
      <c r="G72" s="295"/>
      <c r="H72" s="305"/>
      <c r="I72" s="305"/>
      <c r="J72" s="306"/>
      <c r="L72" s="369"/>
      <c r="M72" s="369"/>
      <c r="N72" s="369"/>
      <c r="O72" s="369"/>
      <c r="P72" s="369"/>
      <c r="Q72" s="369"/>
      <c r="R72" s="369"/>
      <c r="S72" s="369"/>
    </row>
    <row r="73" spans="1:19" x14ac:dyDescent="0.3">
      <c r="A73" s="293" t="s">
        <v>42</v>
      </c>
      <c r="B73" s="293">
        <v>3</v>
      </c>
      <c r="C73" s="323">
        <f>17857.13-495</f>
        <v>17362.13</v>
      </c>
      <c r="D73" s="285">
        <v>0</v>
      </c>
      <c r="E73" s="295">
        <v>0</v>
      </c>
      <c r="F73" s="295">
        <f>E73/9</f>
        <v>0</v>
      </c>
      <c r="G73" s="295"/>
      <c r="H73" s="305">
        <f>D73*$O$73</f>
        <v>0</v>
      </c>
      <c r="I73" s="305">
        <v>180</v>
      </c>
      <c r="J73" s="306">
        <f t="shared" ref="J73:J77" si="25">I73/12</f>
        <v>15</v>
      </c>
      <c r="K73" s="273" t="s">
        <v>427</v>
      </c>
      <c r="L73" s="370"/>
      <c r="N73" s="369">
        <f>SUM(I69)*7.65%</f>
        <v>183.6</v>
      </c>
      <c r="O73" s="382">
        <v>7.6499999999999999E-2</v>
      </c>
      <c r="P73" s="369"/>
      <c r="Q73" s="369"/>
      <c r="R73" s="369"/>
      <c r="S73" s="369"/>
    </row>
    <row r="74" spans="1:19" hidden="1" x14ac:dyDescent="0.3">
      <c r="A74" s="293" t="s">
        <v>324</v>
      </c>
      <c r="B74" s="293">
        <v>3</v>
      </c>
      <c r="C74" s="323">
        <f>21162.07+4067</f>
        <v>25229.07</v>
      </c>
      <c r="D74" s="285">
        <v>0</v>
      </c>
      <c r="E74" s="295">
        <v>614</v>
      </c>
      <c r="F74" s="295">
        <f t="shared" ref="F74:F78" si="26">E74/9</f>
        <v>68.222222222222229</v>
      </c>
      <c r="G74" s="295"/>
      <c r="H74" s="305">
        <f>D74*$O$74</f>
        <v>0</v>
      </c>
      <c r="I74" s="305">
        <v>0</v>
      </c>
      <c r="J74" s="306">
        <f t="shared" si="25"/>
        <v>0</v>
      </c>
      <c r="K74" s="273" t="s">
        <v>571</v>
      </c>
      <c r="L74" s="370"/>
      <c r="N74" s="369">
        <f>E74*1.01</f>
        <v>620.14</v>
      </c>
      <c r="O74" s="381">
        <v>0.05</v>
      </c>
      <c r="P74" s="369"/>
      <c r="Q74" s="369"/>
      <c r="R74" s="369"/>
      <c r="S74" s="369"/>
    </row>
    <row r="75" spans="1:19" hidden="1" x14ac:dyDescent="0.3">
      <c r="A75" s="293" t="s">
        <v>59</v>
      </c>
      <c r="B75" s="293">
        <v>3</v>
      </c>
      <c r="C75" s="323">
        <f>66785.16-8677</f>
        <v>58108.160000000003</v>
      </c>
      <c r="D75" s="285">
        <v>0</v>
      </c>
      <c r="E75" s="295">
        <v>0</v>
      </c>
      <c r="F75" s="295">
        <f t="shared" si="26"/>
        <v>0</v>
      </c>
      <c r="G75" s="295"/>
      <c r="H75" s="305">
        <f>D75*$O$75</f>
        <v>0</v>
      </c>
      <c r="I75" s="305">
        <v>0</v>
      </c>
      <c r="J75" s="306">
        <f t="shared" si="25"/>
        <v>0</v>
      </c>
      <c r="K75" s="273" t="s">
        <v>424</v>
      </c>
      <c r="L75" s="370"/>
      <c r="N75" s="369">
        <f>SUM(I69)*30%</f>
        <v>720</v>
      </c>
      <c r="O75" s="381">
        <v>0.3</v>
      </c>
      <c r="P75" s="369"/>
      <c r="Q75" s="369"/>
      <c r="R75" s="369"/>
      <c r="S75" s="369"/>
    </row>
    <row r="76" spans="1:19" x14ac:dyDescent="0.3">
      <c r="A76" s="293" t="s">
        <v>293</v>
      </c>
      <c r="B76" s="293">
        <v>3</v>
      </c>
      <c r="C76" s="323">
        <f>2231.4+909</f>
        <v>3140.4</v>
      </c>
      <c r="D76" s="285">
        <v>0</v>
      </c>
      <c r="E76" s="295">
        <v>362</v>
      </c>
      <c r="F76" s="295">
        <f t="shared" si="26"/>
        <v>40.222222222222221</v>
      </c>
      <c r="G76" s="295"/>
      <c r="H76" s="305">
        <f>D76*$O$48</f>
        <v>0</v>
      </c>
      <c r="I76" s="305">
        <v>500</v>
      </c>
      <c r="J76" s="306">
        <f t="shared" si="25"/>
        <v>41.666666666666664</v>
      </c>
      <c r="K76" s="273" t="s">
        <v>640</v>
      </c>
      <c r="N76" s="369">
        <f>SUM((E76+(F76*3))*1.03)</f>
        <v>497.14666666666665</v>
      </c>
      <c r="O76" s="369"/>
      <c r="P76" s="369"/>
      <c r="Q76" s="369"/>
      <c r="R76" s="369"/>
      <c r="S76" s="369"/>
    </row>
    <row r="77" spans="1:19" hidden="1" x14ac:dyDescent="0.3">
      <c r="A77" s="293" t="s">
        <v>61</v>
      </c>
      <c r="B77" s="293">
        <v>3</v>
      </c>
      <c r="C77" s="295">
        <f>27130.12-1061</f>
        <v>26069.119999999999</v>
      </c>
      <c r="D77" s="295">
        <v>0</v>
      </c>
      <c r="E77" s="295">
        <v>0</v>
      </c>
      <c r="F77" s="295">
        <f t="shared" si="26"/>
        <v>0</v>
      </c>
      <c r="G77" s="295"/>
      <c r="H77" s="305" t="e">
        <f>D77*#REF!</f>
        <v>#REF!</v>
      </c>
      <c r="I77" s="305">
        <v>0</v>
      </c>
      <c r="J77" s="306">
        <f t="shared" si="25"/>
        <v>0</v>
      </c>
      <c r="L77" s="369"/>
      <c r="M77" s="369"/>
      <c r="N77" s="369"/>
      <c r="O77" s="369"/>
      <c r="P77" s="369"/>
      <c r="Q77" s="369"/>
      <c r="R77" s="369"/>
      <c r="S77" s="369"/>
    </row>
    <row r="78" spans="1:19" x14ac:dyDescent="0.3">
      <c r="A78" s="293" t="s">
        <v>352</v>
      </c>
      <c r="B78" s="293">
        <v>3</v>
      </c>
      <c r="C78" s="323">
        <f>220.09+13</f>
        <v>233.09</v>
      </c>
      <c r="D78" s="285">
        <v>0</v>
      </c>
      <c r="E78" s="295">
        <v>0</v>
      </c>
      <c r="F78" s="295">
        <f t="shared" si="26"/>
        <v>0</v>
      </c>
      <c r="G78" s="295"/>
      <c r="H78" s="305">
        <f>D78*$O$7</f>
        <v>0</v>
      </c>
      <c r="I78" s="305">
        <v>10</v>
      </c>
      <c r="J78" s="306">
        <f t="shared" si="14"/>
        <v>0.83333333333333337</v>
      </c>
      <c r="K78" s="273" t="s">
        <v>353</v>
      </c>
      <c r="L78" s="370"/>
      <c r="M78" s="369"/>
      <c r="N78" s="369"/>
      <c r="O78" s="369"/>
      <c r="P78" s="369"/>
      <c r="Q78" s="369"/>
      <c r="R78" s="369"/>
      <c r="S78" s="369"/>
    </row>
    <row r="79" spans="1:19" hidden="1" x14ac:dyDescent="0.3">
      <c r="A79" s="293" t="s">
        <v>354</v>
      </c>
      <c r="B79" s="293">
        <v>3</v>
      </c>
      <c r="C79" s="323">
        <f>28668.48+32612</f>
        <v>61280.479999999996</v>
      </c>
      <c r="D79" s="285">
        <v>0</v>
      </c>
      <c r="E79" s="295">
        <v>0</v>
      </c>
      <c r="F79" s="295">
        <f t="shared" ref="F79" si="27">E79/9*12</f>
        <v>0</v>
      </c>
      <c r="G79" s="295"/>
      <c r="H79" s="305">
        <f>D79*$O$7</f>
        <v>0</v>
      </c>
      <c r="I79" s="305">
        <v>0</v>
      </c>
      <c r="J79" s="306">
        <f t="shared" si="14"/>
        <v>0</v>
      </c>
      <c r="L79" s="370"/>
      <c r="M79" s="369"/>
      <c r="N79" s="369"/>
      <c r="O79" s="369"/>
      <c r="P79" s="369"/>
      <c r="Q79" s="369"/>
      <c r="R79" s="369"/>
      <c r="S79" s="369"/>
    </row>
    <row r="80" spans="1:19" x14ac:dyDescent="0.3">
      <c r="A80" s="293" t="s">
        <v>62</v>
      </c>
      <c r="B80" s="293">
        <v>3</v>
      </c>
      <c r="C80" s="365">
        <v>139481.24</v>
      </c>
      <c r="D80" s="300">
        <v>0</v>
      </c>
      <c r="E80" s="300">
        <v>0</v>
      </c>
      <c r="F80" s="300"/>
      <c r="G80" s="295"/>
      <c r="H80" s="309">
        <v>0</v>
      </c>
      <c r="I80" s="309">
        <v>9720</v>
      </c>
      <c r="J80" s="310">
        <f t="shared" si="14"/>
        <v>810</v>
      </c>
      <c r="K80" s="273" t="s">
        <v>262</v>
      </c>
      <c r="L80" s="370"/>
      <c r="M80" s="369"/>
      <c r="N80" s="369"/>
      <c r="O80" s="369"/>
      <c r="P80" s="369"/>
      <c r="Q80" s="369"/>
      <c r="R80" s="369"/>
      <c r="S80" s="369"/>
    </row>
    <row r="81" spans="1:19" x14ac:dyDescent="0.3">
      <c r="A81" s="304" t="s">
        <v>92</v>
      </c>
      <c r="B81" s="293"/>
      <c r="C81" s="295">
        <f t="shared" ref="C81:J81" si="28">SUM(C73:C80)</f>
        <v>330903.68999999994</v>
      </c>
      <c r="D81" s="295">
        <f t="shared" si="28"/>
        <v>0</v>
      </c>
      <c r="E81" s="295">
        <f t="shared" si="28"/>
        <v>976</v>
      </c>
      <c r="F81" s="295">
        <f>SUM(F73:F80)</f>
        <v>108.44444444444446</v>
      </c>
      <c r="G81" s="295"/>
      <c r="H81" s="305" t="e">
        <f t="shared" si="28"/>
        <v>#REF!</v>
      </c>
      <c r="I81" s="305">
        <f t="shared" si="28"/>
        <v>10410</v>
      </c>
      <c r="J81" s="306">
        <f t="shared" si="28"/>
        <v>867.5</v>
      </c>
      <c r="L81" s="383"/>
      <c r="M81" s="369"/>
      <c r="N81" s="369"/>
      <c r="O81" s="369"/>
      <c r="P81" s="369"/>
      <c r="Q81" s="369"/>
      <c r="R81" s="369"/>
      <c r="S81" s="369"/>
    </row>
    <row r="82" spans="1:19" x14ac:dyDescent="0.3">
      <c r="A82" s="293"/>
      <c r="B82" s="293"/>
      <c r="C82" s="295"/>
      <c r="D82" s="295"/>
      <c r="E82" s="295"/>
      <c r="F82" s="295"/>
      <c r="G82" s="295"/>
      <c r="H82" s="305"/>
      <c r="I82" s="305"/>
      <c r="J82" s="306"/>
      <c r="L82" s="383"/>
      <c r="M82" s="369"/>
      <c r="N82" s="369"/>
      <c r="O82" s="369"/>
      <c r="P82" s="369"/>
      <c r="Q82" s="369"/>
      <c r="R82" s="369"/>
      <c r="S82" s="369"/>
    </row>
    <row r="83" spans="1:19" x14ac:dyDescent="0.3">
      <c r="A83" s="304" t="s">
        <v>459</v>
      </c>
      <c r="B83" s="293"/>
      <c r="C83" s="295"/>
      <c r="D83" s="295"/>
      <c r="E83" s="295"/>
      <c r="F83" s="295"/>
      <c r="G83" s="295"/>
      <c r="H83" s="305"/>
      <c r="I83" s="305"/>
      <c r="J83" s="306"/>
      <c r="L83" s="383"/>
      <c r="M83" s="369"/>
      <c r="N83" s="369"/>
      <c r="O83" s="369"/>
      <c r="P83" s="369"/>
      <c r="Q83" s="369"/>
      <c r="R83" s="369"/>
      <c r="S83" s="369"/>
    </row>
    <row r="84" spans="1:19" x14ac:dyDescent="0.3">
      <c r="A84" s="293" t="s">
        <v>313</v>
      </c>
      <c r="B84" s="293">
        <v>3</v>
      </c>
      <c r="C84" s="323">
        <v>174358.63</v>
      </c>
      <c r="D84" s="285">
        <v>0</v>
      </c>
      <c r="E84" s="295">
        <v>1382</v>
      </c>
      <c r="F84" s="295">
        <f>E84/9</f>
        <v>153.55555555555554</v>
      </c>
      <c r="G84" s="295"/>
      <c r="H84" s="305">
        <v>0</v>
      </c>
      <c r="I84" s="305">
        <v>14530</v>
      </c>
      <c r="J84" s="306">
        <f>I84/12</f>
        <v>1210.8333333333333</v>
      </c>
      <c r="K84" s="273" t="s">
        <v>582</v>
      </c>
      <c r="L84" s="370"/>
      <c r="M84" s="369"/>
      <c r="N84" s="369"/>
      <c r="O84" s="369"/>
      <c r="P84" s="369"/>
      <c r="Q84" s="369"/>
      <c r="R84" s="369"/>
      <c r="S84" s="369"/>
    </row>
    <row r="85" spans="1:19" x14ac:dyDescent="0.3">
      <c r="A85" s="293" t="s">
        <v>295</v>
      </c>
      <c r="B85" s="293">
        <v>3</v>
      </c>
      <c r="C85" s="365">
        <v>277977.89</v>
      </c>
      <c r="D85" s="301">
        <v>0</v>
      </c>
      <c r="E85" s="300">
        <v>0</v>
      </c>
      <c r="F85" s="300">
        <f>E85/9*12</f>
        <v>0</v>
      </c>
      <c r="G85" s="295"/>
      <c r="H85" s="309">
        <v>0</v>
      </c>
      <c r="I85" s="309">
        <v>12890</v>
      </c>
      <c r="J85" s="310">
        <f>I85/12</f>
        <v>1074.1666666666667</v>
      </c>
      <c r="K85" s="273" t="s">
        <v>582</v>
      </c>
      <c r="L85" s="370"/>
      <c r="M85" s="369"/>
      <c r="N85" s="369"/>
      <c r="O85" s="369"/>
      <c r="P85" s="369"/>
      <c r="Q85" s="369"/>
      <c r="R85" s="369"/>
      <c r="S85" s="369"/>
    </row>
    <row r="86" spans="1:19" x14ac:dyDescent="0.3">
      <c r="A86" s="304" t="s">
        <v>314</v>
      </c>
      <c r="B86" s="293"/>
      <c r="C86" s="295">
        <f>SUM(C82:C85)</f>
        <v>452336.52</v>
      </c>
      <c r="D86" s="295">
        <f t="shared" ref="D86:J86" si="29">SUM(D82:D85)</f>
        <v>0</v>
      </c>
      <c r="E86" s="295">
        <f t="shared" si="29"/>
        <v>1382</v>
      </c>
      <c r="F86" s="295">
        <f>SUM(F84:F85)</f>
        <v>153.55555555555554</v>
      </c>
      <c r="G86" s="295"/>
      <c r="H86" s="305">
        <f t="shared" si="29"/>
        <v>0</v>
      </c>
      <c r="I86" s="305">
        <f t="shared" si="29"/>
        <v>27420</v>
      </c>
      <c r="J86" s="306">
        <f t="shared" si="29"/>
        <v>2285</v>
      </c>
      <c r="L86" s="370"/>
      <c r="M86" s="369"/>
      <c r="N86" s="369"/>
      <c r="O86" s="369"/>
      <c r="P86" s="369"/>
      <c r="Q86" s="369"/>
      <c r="R86" s="369"/>
      <c r="S86" s="369"/>
    </row>
    <row r="87" spans="1:19" x14ac:dyDescent="0.3">
      <c r="A87" s="293"/>
      <c r="B87" s="293"/>
      <c r="C87" s="323"/>
      <c r="D87" s="323"/>
      <c r="E87" s="323"/>
      <c r="F87" s="323"/>
      <c r="G87" s="295"/>
      <c r="H87" s="305"/>
      <c r="I87" s="305"/>
      <c r="J87" s="306"/>
      <c r="L87" s="383"/>
      <c r="M87" s="369"/>
      <c r="N87" s="369"/>
      <c r="O87" s="369"/>
      <c r="P87" s="369"/>
      <c r="Q87" s="369"/>
      <c r="R87" s="369"/>
      <c r="S87" s="369"/>
    </row>
    <row r="88" spans="1:19" x14ac:dyDescent="0.3">
      <c r="A88" s="304" t="s">
        <v>84</v>
      </c>
      <c r="B88" s="293"/>
      <c r="C88" s="323"/>
      <c r="D88" s="323"/>
      <c r="E88" s="323"/>
      <c r="F88" s="323"/>
      <c r="G88" s="295"/>
      <c r="H88" s="305"/>
      <c r="I88" s="305"/>
      <c r="J88" s="306"/>
      <c r="L88" s="383"/>
      <c r="M88" s="369"/>
      <c r="N88" s="369"/>
      <c r="O88" s="369"/>
      <c r="P88" s="369"/>
      <c r="Q88" s="369"/>
      <c r="R88" s="369"/>
      <c r="S88" s="369"/>
    </row>
    <row r="89" spans="1:19" x14ac:dyDescent="0.3">
      <c r="A89" s="293" t="s">
        <v>63</v>
      </c>
      <c r="B89" s="293">
        <v>3</v>
      </c>
      <c r="C89" s="365">
        <v>35806.879999999997</v>
      </c>
      <c r="D89" s="301">
        <v>0</v>
      </c>
      <c r="E89" s="300">
        <v>0</v>
      </c>
      <c r="F89" s="300">
        <f>E89/9*12</f>
        <v>0</v>
      </c>
      <c r="G89" s="295"/>
      <c r="H89" s="309">
        <v>0</v>
      </c>
      <c r="I89" s="309">
        <v>1800</v>
      </c>
      <c r="J89" s="310">
        <f t="shared" si="14"/>
        <v>150</v>
      </c>
      <c r="L89" s="383"/>
      <c r="M89" s="369"/>
      <c r="N89" s="369"/>
      <c r="O89" s="369"/>
      <c r="P89" s="369"/>
      <c r="Q89" s="369"/>
      <c r="R89" s="369"/>
      <c r="S89" s="369"/>
    </row>
    <row r="90" spans="1:19" x14ac:dyDescent="0.3">
      <c r="A90" s="304" t="s">
        <v>93</v>
      </c>
      <c r="B90" s="293"/>
      <c r="C90" s="295">
        <f>SUM(C87:C89)</f>
        <v>35806.879999999997</v>
      </c>
      <c r="D90" s="295">
        <f t="shared" ref="D90:J90" si="30">SUM(D87:D89)</f>
        <v>0</v>
      </c>
      <c r="E90" s="295">
        <f t="shared" si="30"/>
        <v>0</v>
      </c>
      <c r="F90" s="295">
        <f>SUM(F89)</f>
        <v>0</v>
      </c>
      <c r="G90" s="295"/>
      <c r="H90" s="305">
        <f t="shared" si="30"/>
        <v>0</v>
      </c>
      <c r="I90" s="305">
        <f t="shared" si="30"/>
        <v>1800</v>
      </c>
      <c r="J90" s="306">
        <f t="shared" si="30"/>
        <v>150</v>
      </c>
      <c r="L90" s="370"/>
      <c r="M90" s="369"/>
      <c r="N90" s="369"/>
      <c r="O90" s="369"/>
      <c r="P90" s="369"/>
      <c r="Q90" s="369"/>
      <c r="R90" s="369"/>
      <c r="S90" s="369"/>
    </row>
    <row r="91" spans="1:19" x14ac:dyDescent="0.3">
      <c r="A91" s="304"/>
      <c r="B91" s="293"/>
      <c r="C91" s="295"/>
      <c r="D91" s="295"/>
      <c r="E91" s="295"/>
      <c r="F91" s="295"/>
      <c r="G91" s="295"/>
      <c r="H91" s="305"/>
      <c r="I91" s="305"/>
      <c r="J91" s="306"/>
      <c r="L91" s="383"/>
      <c r="M91" s="369"/>
      <c r="N91" s="369"/>
      <c r="O91" s="369"/>
      <c r="P91" s="369"/>
      <c r="Q91" s="369"/>
      <c r="R91" s="369"/>
      <c r="S91" s="369"/>
    </row>
    <row r="92" spans="1:19" hidden="1" x14ac:dyDescent="0.3">
      <c r="A92" s="293" t="s">
        <v>380</v>
      </c>
      <c r="B92" s="293">
        <v>3</v>
      </c>
      <c r="C92" s="323">
        <v>0</v>
      </c>
      <c r="D92" s="323">
        <f t="shared" ref="D92:D95" si="31">C92/3</f>
        <v>0</v>
      </c>
      <c r="E92" s="323">
        <f t="shared" si="23"/>
        <v>0</v>
      </c>
      <c r="F92" s="323">
        <f t="shared" ref="F92:F95" si="32">E92/9</f>
        <v>0</v>
      </c>
      <c r="G92" s="295"/>
      <c r="H92" s="305">
        <f>D92*$O$7</f>
        <v>0</v>
      </c>
      <c r="I92" s="305">
        <f t="shared" si="24"/>
        <v>0</v>
      </c>
      <c r="J92" s="306">
        <f t="shared" si="14"/>
        <v>0</v>
      </c>
      <c r="L92" s="370"/>
      <c r="M92" s="369"/>
      <c r="N92" s="369"/>
      <c r="O92" s="369"/>
      <c r="P92" s="369"/>
      <c r="Q92" s="369"/>
      <c r="R92" s="369"/>
      <c r="S92" s="369"/>
    </row>
    <row r="93" spans="1:19" hidden="1" x14ac:dyDescent="0.3">
      <c r="A93" s="293" t="s">
        <v>381</v>
      </c>
      <c r="B93" s="293">
        <v>3</v>
      </c>
      <c r="C93" s="323">
        <v>0</v>
      </c>
      <c r="D93" s="323">
        <f t="shared" si="31"/>
        <v>0</v>
      </c>
      <c r="E93" s="323">
        <f t="shared" si="23"/>
        <v>0</v>
      </c>
      <c r="F93" s="323">
        <f t="shared" si="32"/>
        <v>0</v>
      </c>
      <c r="G93" s="295"/>
      <c r="H93" s="305">
        <f>D93*$O$7</f>
        <v>0</v>
      </c>
      <c r="I93" s="305">
        <f t="shared" si="24"/>
        <v>0</v>
      </c>
      <c r="J93" s="306">
        <f t="shared" si="14"/>
        <v>0</v>
      </c>
      <c r="L93" s="383"/>
      <c r="M93" s="369"/>
      <c r="N93" s="369"/>
      <c r="O93" s="369"/>
      <c r="P93" s="369"/>
      <c r="Q93" s="369"/>
      <c r="R93" s="369"/>
      <c r="S93" s="369"/>
    </row>
    <row r="94" spans="1:19" hidden="1" x14ac:dyDescent="0.3">
      <c r="A94" s="293" t="s">
        <v>382</v>
      </c>
      <c r="B94" s="293">
        <v>3</v>
      </c>
      <c r="C94" s="323">
        <v>0</v>
      </c>
      <c r="D94" s="285">
        <f t="shared" si="31"/>
        <v>0</v>
      </c>
      <c r="E94" s="295">
        <f t="shared" si="23"/>
        <v>0</v>
      </c>
      <c r="F94" s="295">
        <f t="shared" si="32"/>
        <v>0</v>
      </c>
      <c r="G94" s="300"/>
      <c r="H94" s="305">
        <f>D94*$O$7</f>
        <v>0</v>
      </c>
      <c r="I94" s="305">
        <f t="shared" si="24"/>
        <v>0</v>
      </c>
      <c r="J94" s="306">
        <f t="shared" si="14"/>
        <v>0</v>
      </c>
      <c r="L94" s="370"/>
      <c r="M94" s="369"/>
      <c r="N94" s="369"/>
      <c r="O94" s="369"/>
      <c r="P94" s="369"/>
      <c r="Q94" s="369"/>
      <c r="R94" s="369"/>
      <c r="S94" s="369"/>
    </row>
    <row r="95" spans="1:19" hidden="1" x14ac:dyDescent="0.3">
      <c r="A95" s="293" t="s">
        <v>383</v>
      </c>
      <c r="B95" s="293">
        <v>3</v>
      </c>
      <c r="C95" s="323">
        <v>0</v>
      </c>
      <c r="D95" s="285">
        <f t="shared" si="31"/>
        <v>0</v>
      </c>
      <c r="E95" s="295">
        <f t="shared" si="23"/>
        <v>0</v>
      </c>
      <c r="F95" s="295">
        <f t="shared" si="32"/>
        <v>0</v>
      </c>
      <c r="G95" s="295"/>
      <c r="H95" s="305">
        <f>D95*$O$7</f>
        <v>0</v>
      </c>
      <c r="I95" s="305">
        <f t="shared" si="24"/>
        <v>0</v>
      </c>
      <c r="J95" s="306">
        <f t="shared" ref="J95:J102" si="33">I95/12</f>
        <v>0</v>
      </c>
      <c r="L95" s="383"/>
      <c r="M95" s="369"/>
      <c r="N95" s="369"/>
      <c r="O95" s="369"/>
      <c r="P95" s="369"/>
      <c r="Q95" s="369"/>
      <c r="R95" s="369"/>
      <c r="S95" s="369"/>
    </row>
    <row r="96" spans="1:19" x14ac:dyDescent="0.3">
      <c r="A96" s="304" t="s">
        <v>458</v>
      </c>
      <c r="B96" s="293"/>
      <c r="C96" s="323"/>
      <c r="D96" s="285"/>
      <c r="E96" s="295"/>
      <c r="F96" s="295"/>
      <c r="G96" s="295"/>
      <c r="H96" s="305"/>
      <c r="I96" s="305"/>
      <c r="J96" s="306"/>
      <c r="L96" s="383"/>
      <c r="M96" s="369"/>
      <c r="N96" s="369"/>
      <c r="O96" s="369"/>
      <c r="P96" s="369"/>
      <c r="Q96" s="369"/>
      <c r="R96" s="369"/>
      <c r="S96" s="369"/>
    </row>
    <row r="97" spans="1:19" x14ac:dyDescent="0.3">
      <c r="A97" s="293" t="s">
        <v>265</v>
      </c>
      <c r="B97" s="293">
        <v>3</v>
      </c>
      <c r="C97" s="323">
        <v>17108</v>
      </c>
      <c r="D97" s="301">
        <v>0</v>
      </c>
      <c r="E97" s="300">
        <v>0</v>
      </c>
      <c r="F97" s="300">
        <f>E97/9*12</f>
        <v>0</v>
      </c>
      <c r="G97" s="295"/>
      <c r="H97" s="305">
        <v>0</v>
      </c>
      <c r="I97" s="309">
        <f>2500</f>
        <v>2500</v>
      </c>
      <c r="J97" s="310">
        <f t="shared" si="33"/>
        <v>208.33333333333334</v>
      </c>
      <c r="K97" s="273" t="s">
        <v>637</v>
      </c>
      <c r="L97" s="370"/>
      <c r="M97" s="369"/>
      <c r="N97" s="369"/>
      <c r="O97" s="369"/>
      <c r="P97" s="369"/>
      <c r="Q97" s="369"/>
      <c r="R97" s="369"/>
      <c r="S97" s="369"/>
    </row>
    <row r="98" spans="1:19" hidden="1" x14ac:dyDescent="0.3">
      <c r="A98" s="293" t="s">
        <v>358</v>
      </c>
      <c r="B98" s="293">
        <v>3</v>
      </c>
      <c r="C98" s="323">
        <v>11472</v>
      </c>
      <c r="D98" s="285">
        <v>0</v>
      </c>
      <c r="E98" s="295">
        <v>0</v>
      </c>
      <c r="F98" s="295">
        <f t="shared" ref="F98:F101" si="34">E98/9*12</f>
        <v>0</v>
      </c>
      <c r="G98" s="295"/>
      <c r="H98" s="305">
        <v>0</v>
      </c>
      <c r="I98" s="305">
        <v>0</v>
      </c>
      <c r="J98" s="306">
        <f t="shared" si="33"/>
        <v>0</v>
      </c>
      <c r="L98" s="370"/>
      <c r="M98" s="369"/>
      <c r="N98" s="369"/>
      <c r="O98" s="369"/>
      <c r="P98" s="369"/>
      <c r="Q98" s="369"/>
      <c r="R98" s="369"/>
      <c r="S98" s="369"/>
    </row>
    <row r="99" spans="1:19" hidden="1" x14ac:dyDescent="0.3">
      <c r="A99" s="293" t="s">
        <v>359</v>
      </c>
      <c r="B99" s="293">
        <v>3</v>
      </c>
      <c r="C99" s="323">
        <v>9276.7099999999991</v>
      </c>
      <c r="D99" s="285">
        <v>0</v>
      </c>
      <c r="E99" s="295">
        <v>0</v>
      </c>
      <c r="F99" s="295">
        <f t="shared" si="34"/>
        <v>0</v>
      </c>
      <c r="G99" s="295"/>
      <c r="H99" s="305">
        <v>0</v>
      </c>
      <c r="I99" s="305">
        <v>0</v>
      </c>
      <c r="J99" s="306">
        <f t="shared" si="33"/>
        <v>0</v>
      </c>
      <c r="L99" s="368"/>
      <c r="M99" s="369"/>
      <c r="N99" s="369"/>
      <c r="O99" s="369"/>
      <c r="P99" s="369"/>
      <c r="Q99" s="369"/>
      <c r="R99" s="369"/>
      <c r="S99" s="369"/>
    </row>
    <row r="100" spans="1:19" hidden="1" x14ac:dyDescent="0.3">
      <c r="A100" s="293" t="s">
        <v>64</v>
      </c>
      <c r="B100" s="293">
        <v>3</v>
      </c>
      <c r="C100" s="323">
        <v>2466.65</v>
      </c>
      <c r="D100" s="285">
        <v>0</v>
      </c>
      <c r="E100" s="295">
        <f t="shared" ref="E100" si="35">D100/12</f>
        <v>0</v>
      </c>
      <c r="F100" s="295">
        <f t="shared" si="34"/>
        <v>0</v>
      </c>
      <c r="G100" s="295"/>
      <c r="H100" s="305">
        <f>D100*$O$7</f>
        <v>0</v>
      </c>
      <c r="I100" s="305">
        <v>0</v>
      </c>
      <c r="J100" s="306">
        <f t="shared" si="33"/>
        <v>0</v>
      </c>
      <c r="L100" s="370"/>
      <c r="M100" s="369"/>
      <c r="N100" s="369"/>
      <c r="O100" s="369"/>
      <c r="P100" s="369"/>
      <c r="Q100" s="369"/>
      <c r="R100" s="369"/>
      <c r="S100" s="369"/>
    </row>
    <row r="101" spans="1:19" hidden="1" x14ac:dyDescent="0.3">
      <c r="A101" s="293" t="s">
        <v>26</v>
      </c>
      <c r="B101" s="293">
        <v>3</v>
      </c>
      <c r="C101" s="323">
        <v>14856.41</v>
      </c>
      <c r="D101" s="285">
        <v>0</v>
      </c>
      <c r="E101" s="295">
        <v>0</v>
      </c>
      <c r="F101" s="295">
        <f t="shared" si="34"/>
        <v>0</v>
      </c>
      <c r="G101" s="295"/>
      <c r="H101" s="305">
        <f>D101*$O$7</f>
        <v>0</v>
      </c>
      <c r="I101" s="305">
        <v>0</v>
      </c>
      <c r="J101" s="306">
        <f t="shared" si="33"/>
        <v>0</v>
      </c>
      <c r="L101" s="370"/>
      <c r="M101" s="369"/>
      <c r="N101" s="369"/>
      <c r="O101" s="369"/>
      <c r="P101" s="369"/>
      <c r="Q101" s="369"/>
      <c r="R101" s="369"/>
      <c r="S101" s="369"/>
    </row>
    <row r="102" spans="1:19" hidden="1" x14ac:dyDescent="0.3">
      <c r="A102" s="293" t="s">
        <v>65</v>
      </c>
      <c r="B102" s="293">
        <v>3</v>
      </c>
      <c r="C102" s="365">
        <v>1167.5</v>
      </c>
      <c r="D102" s="301">
        <v>0</v>
      </c>
      <c r="E102" s="300">
        <v>0</v>
      </c>
      <c r="F102" s="300">
        <f>E102/9*12</f>
        <v>0</v>
      </c>
      <c r="G102" s="300"/>
      <c r="H102" s="309">
        <v>0</v>
      </c>
      <c r="I102" s="309">
        <v>0</v>
      </c>
      <c r="J102" s="310">
        <f t="shared" si="33"/>
        <v>0</v>
      </c>
      <c r="K102" s="279"/>
      <c r="L102" s="370"/>
      <c r="M102" s="369"/>
      <c r="N102" s="369"/>
      <c r="O102" s="369"/>
      <c r="P102" s="369"/>
      <c r="Q102" s="369"/>
      <c r="R102" s="369"/>
      <c r="S102" s="369"/>
    </row>
    <row r="103" spans="1:19" ht="20.25" thickBot="1" x14ac:dyDescent="0.35">
      <c r="A103" s="304" t="s">
        <v>320</v>
      </c>
      <c r="B103" s="293"/>
      <c r="C103" s="295">
        <f>SUM(C94:C102)</f>
        <v>56347.270000000004</v>
      </c>
      <c r="D103" s="295">
        <f t="shared" ref="D103:E103" si="36">SUM(D94:D102)</f>
        <v>0</v>
      </c>
      <c r="E103" s="295">
        <f t="shared" si="36"/>
        <v>0</v>
      </c>
      <c r="F103" s="295">
        <f>SUM(F91:F102)</f>
        <v>0</v>
      </c>
      <c r="G103" s="295"/>
      <c r="H103" s="367">
        <f>SUM(H94:H102)</f>
        <v>0</v>
      </c>
      <c r="I103" s="384">
        <f>SUM(I94:I102)</f>
        <v>2500</v>
      </c>
      <c r="J103" s="385">
        <f>SUM(J94:J102)</f>
        <v>208.33333333333334</v>
      </c>
      <c r="K103" s="279"/>
      <c r="L103" s="370"/>
      <c r="M103" s="369"/>
      <c r="N103" s="369"/>
      <c r="O103" s="369"/>
      <c r="P103" s="369"/>
      <c r="Q103" s="369"/>
      <c r="R103" s="369"/>
      <c r="S103" s="369"/>
    </row>
    <row r="104" spans="1:19" x14ac:dyDescent="0.3">
      <c r="A104" s="369"/>
      <c r="B104" s="369"/>
      <c r="C104" s="369"/>
      <c r="D104" s="369"/>
      <c r="E104" s="369"/>
      <c r="F104" s="369"/>
      <c r="G104" s="369"/>
      <c r="H104" s="369"/>
      <c r="I104" s="369"/>
      <c r="J104" s="369"/>
      <c r="K104" s="370"/>
      <c r="L104" s="370"/>
      <c r="M104" s="369"/>
      <c r="N104" s="369"/>
      <c r="O104" s="369"/>
      <c r="P104" s="369"/>
      <c r="Q104" s="369"/>
      <c r="R104" s="369"/>
      <c r="S104" s="369"/>
    </row>
    <row r="105" spans="1:19" x14ac:dyDescent="0.3">
      <c r="A105" s="369"/>
      <c r="B105" s="369"/>
      <c r="C105" s="369"/>
      <c r="D105" s="369"/>
      <c r="E105" s="369"/>
      <c r="F105" s="369"/>
      <c r="G105" s="369"/>
      <c r="H105" s="369"/>
      <c r="I105" s="369"/>
      <c r="J105" s="369"/>
      <c r="K105" s="369"/>
      <c r="L105" s="369"/>
      <c r="M105" s="369"/>
      <c r="N105" s="369"/>
      <c r="O105" s="369"/>
      <c r="P105" s="369"/>
      <c r="Q105" s="369"/>
      <c r="R105" s="369"/>
      <c r="S105" s="369"/>
    </row>
  </sheetData>
  <pageMargins left="0.7" right="0.28000000000000003" top="1.06" bottom="0.7" header="0.3" footer="0.3"/>
  <pageSetup scale="42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5"/>
  <sheetViews>
    <sheetView zoomScale="80" zoomScaleNormal="80" workbookViewId="0">
      <pane xSplit="3" ySplit="4" topLeftCell="D38" activePane="bottomRight" state="frozen"/>
      <selection activeCell="E77" sqref="E77"/>
      <selection pane="topRight" activeCell="E77" sqref="E77"/>
      <selection pane="bottomLeft" activeCell="E77" sqref="E77"/>
      <selection pane="bottomRight" activeCell="D71" sqref="D71"/>
    </sheetView>
  </sheetViews>
  <sheetFormatPr defaultRowHeight="15" x14ac:dyDescent="0.25"/>
  <cols>
    <col min="1" max="1" width="55.42578125" style="31" bestFit="1" customWidth="1"/>
    <col min="2" max="2" width="9.140625" style="31" hidden="1" customWidth="1"/>
    <col min="3" max="3" width="11.7109375" style="31" hidden="1" customWidth="1"/>
    <col min="4" max="4" width="15.42578125" style="31" bestFit="1" customWidth="1"/>
    <col min="5" max="5" width="14.28515625" style="31" bestFit="1" customWidth="1"/>
    <col min="6" max="6" width="11.85546875" style="31" customWidth="1"/>
    <col min="7" max="7" width="4.42578125" style="31" customWidth="1"/>
    <col min="8" max="8" width="0" style="31" hidden="1" customWidth="1"/>
    <col min="9" max="9" width="22.7109375" style="31" customWidth="1"/>
    <col min="10" max="10" width="14.5703125" style="31" customWidth="1"/>
    <col min="11" max="11" width="95.140625" style="31" customWidth="1"/>
    <col min="12" max="16384" width="9.140625" style="31"/>
  </cols>
  <sheetData>
    <row r="1" spans="1:14" ht="18.75" x14ac:dyDescent="0.3">
      <c r="I1" s="32" t="str">
        <f>'Viking Sq'!I1</f>
        <v>Projected Annual Budget 2016</v>
      </c>
      <c r="J1" s="33"/>
      <c r="K1" s="74" t="s">
        <v>553</v>
      </c>
    </row>
    <row r="2" spans="1:14" x14ac:dyDescent="0.25">
      <c r="I2" s="34" t="s">
        <v>395</v>
      </c>
      <c r="J2" s="35"/>
      <c r="K2" s="122" t="s">
        <v>523</v>
      </c>
    </row>
    <row r="3" spans="1:14" ht="21.75" thickBot="1" x14ac:dyDescent="0.4">
      <c r="A3" s="36" t="s">
        <v>486</v>
      </c>
      <c r="D3" s="20"/>
      <c r="I3" s="37"/>
      <c r="J3" s="35"/>
      <c r="K3" s="122" t="s">
        <v>524</v>
      </c>
    </row>
    <row r="4" spans="1:14" s="73" customFormat="1" ht="45.75" thickBot="1" x14ac:dyDescent="0.3">
      <c r="A4" s="125" t="s">
        <v>77</v>
      </c>
      <c r="B4" s="38" t="s">
        <v>78</v>
      </c>
      <c r="C4" s="38" t="s">
        <v>79</v>
      </c>
      <c r="D4" s="39" t="str">
        <f>'Viking Sq'!D4</f>
        <v>2015 Annual Budget</v>
      </c>
      <c r="E4" s="39" t="str">
        <f>'Viking Sq'!E4</f>
        <v>YTD Actual FY 2015 @ 9/30/15</v>
      </c>
      <c r="F4" s="39" t="str">
        <f>'Viking Sq'!F4</f>
        <v>FY 2015 - 9 month Avg</v>
      </c>
      <c r="G4" s="126"/>
      <c r="H4" s="40"/>
      <c r="I4" s="41" t="s">
        <v>430</v>
      </c>
      <c r="J4" s="42" t="s">
        <v>431</v>
      </c>
      <c r="K4" s="133" t="s">
        <v>525</v>
      </c>
      <c r="L4" s="121"/>
      <c r="M4" s="121"/>
      <c r="N4" s="21">
        <v>1.03</v>
      </c>
    </row>
    <row r="5" spans="1:14" x14ac:dyDescent="0.25">
      <c r="A5" s="127" t="s">
        <v>33</v>
      </c>
      <c r="B5" s="43">
        <v>3</v>
      </c>
      <c r="C5" s="44">
        <v>-529501.75</v>
      </c>
      <c r="D5" s="45">
        <v>-425800</v>
      </c>
      <c r="E5" s="45">
        <v>-321596.59999999998</v>
      </c>
      <c r="F5" s="45">
        <f>E5/9</f>
        <v>-35732.955555555556</v>
      </c>
      <c r="G5" s="45"/>
      <c r="H5" s="46">
        <v>0</v>
      </c>
      <c r="I5" s="47">
        <v>-429000</v>
      </c>
      <c r="J5" s="48">
        <f>I5/12</f>
        <v>-35750</v>
      </c>
      <c r="K5" s="123"/>
      <c r="N5" s="20" t="s">
        <v>80</v>
      </c>
    </row>
    <row r="6" spans="1:14" x14ac:dyDescent="0.25">
      <c r="A6" s="127" t="s">
        <v>34</v>
      </c>
      <c r="B6" s="43">
        <v>3</v>
      </c>
      <c r="C6" s="44">
        <f>26538.3-5333</f>
        <v>21205.3</v>
      </c>
      <c r="D6" s="45">
        <v>5040</v>
      </c>
      <c r="E6" s="45">
        <v>3021.5</v>
      </c>
      <c r="F6" s="45">
        <f t="shared" ref="F6:F12" si="0">E6/9</f>
        <v>335.72222222222223</v>
      </c>
      <c r="G6" s="45"/>
      <c r="H6" s="46">
        <f>D6*$N$7</f>
        <v>151.19999999999999</v>
      </c>
      <c r="I6" s="47">
        <v>8580</v>
      </c>
      <c r="J6" s="48">
        <f t="shared" ref="J6:J13" si="1">I6/12</f>
        <v>715</v>
      </c>
      <c r="K6" s="74" t="s">
        <v>555</v>
      </c>
      <c r="N6" s="20" t="s">
        <v>396</v>
      </c>
    </row>
    <row r="7" spans="1:14" x14ac:dyDescent="0.25">
      <c r="A7" s="127" t="s">
        <v>35</v>
      </c>
      <c r="B7" s="43">
        <v>3</v>
      </c>
      <c r="C7" s="44">
        <f>-36-1275</f>
        <v>-1311</v>
      </c>
      <c r="D7" s="45">
        <v>-540</v>
      </c>
      <c r="E7" s="45">
        <v>-309.57</v>
      </c>
      <c r="F7" s="45">
        <f t="shared" si="0"/>
        <v>-34.396666666666668</v>
      </c>
      <c r="G7" s="45"/>
      <c r="H7" s="46">
        <f>D7*$N$7</f>
        <v>-16.2</v>
      </c>
      <c r="I7" s="47">
        <v>-420</v>
      </c>
      <c r="J7" s="48">
        <f t="shared" si="1"/>
        <v>-35</v>
      </c>
      <c r="K7" s="74"/>
      <c r="N7" s="25">
        <v>0.03</v>
      </c>
    </row>
    <row r="8" spans="1:14" x14ac:dyDescent="0.25">
      <c r="A8" s="127" t="s">
        <v>37</v>
      </c>
      <c r="B8" s="43">
        <v>3</v>
      </c>
      <c r="C8" s="44">
        <v>-233</v>
      </c>
      <c r="D8" s="45">
        <v>-800</v>
      </c>
      <c r="E8" s="45">
        <v>-70</v>
      </c>
      <c r="F8" s="45">
        <f t="shared" si="0"/>
        <v>-7.7777777777777777</v>
      </c>
      <c r="G8" s="45"/>
      <c r="H8" s="46">
        <f>D8*$N$7</f>
        <v>-24</v>
      </c>
      <c r="I8" s="47">
        <v>-130</v>
      </c>
      <c r="J8" s="48">
        <f t="shared" si="1"/>
        <v>-10.833333333333334</v>
      </c>
      <c r="K8" s="74"/>
    </row>
    <row r="9" spans="1:14" x14ac:dyDescent="0.25">
      <c r="A9" s="127" t="s">
        <v>460</v>
      </c>
      <c r="B9" s="43"/>
      <c r="C9" s="44"/>
      <c r="D9" s="45">
        <v>-210</v>
      </c>
      <c r="E9" s="45">
        <v>0</v>
      </c>
      <c r="F9" s="45">
        <f t="shared" si="0"/>
        <v>0</v>
      </c>
      <c r="G9" s="45"/>
      <c r="H9" s="46"/>
      <c r="I9" s="47">
        <v>-210</v>
      </c>
      <c r="J9" s="48">
        <f t="shared" si="1"/>
        <v>-17.5</v>
      </c>
      <c r="K9" s="74"/>
    </row>
    <row r="10" spans="1:14" x14ac:dyDescent="0.25">
      <c r="A10" s="127" t="s">
        <v>554</v>
      </c>
      <c r="B10" s="43"/>
      <c r="C10" s="44"/>
      <c r="D10" s="45">
        <v>0</v>
      </c>
      <c r="E10" s="45">
        <v>0</v>
      </c>
      <c r="F10" s="45">
        <f t="shared" si="0"/>
        <v>0</v>
      </c>
      <c r="G10" s="45"/>
      <c r="H10" s="46"/>
      <c r="I10" s="47">
        <v>-48000</v>
      </c>
      <c r="J10" s="48">
        <f t="shared" si="1"/>
        <v>-4000</v>
      </c>
      <c r="K10" s="74" t="s">
        <v>556</v>
      </c>
    </row>
    <row r="11" spans="1:14" x14ac:dyDescent="0.25">
      <c r="A11" s="127" t="s">
        <v>301</v>
      </c>
      <c r="B11" s="43"/>
      <c r="C11" s="44"/>
      <c r="D11" s="45">
        <v>-70</v>
      </c>
      <c r="E11" s="45">
        <v>0</v>
      </c>
      <c r="F11" s="45">
        <f t="shared" si="0"/>
        <v>0</v>
      </c>
      <c r="G11" s="45"/>
      <c r="H11" s="46"/>
      <c r="I11" s="47">
        <v>-70</v>
      </c>
      <c r="J11" s="48">
        <f t="shared" si="1"/>
        <v>-5.833333333333333</v>
      </c>
      <c r="K11" s="74"/>
    </row>
    <row r="12" spans="1:14" x14ac:dyDescent="0.25">
      <c r="A12" s="127" t="s">
        <v>215</v>
      </c>
      <c r="B12" s="43"/>
      <c r="C12" s="44"/>
      <c r="D12" s="45">
        <v>7424</v>
      </c>
      <c r="E12" s="45">
        <v>4600</v>
      </c>
      <c r="F12" s="45">
        <f t="shared" si="0"/>
        <v>511.11111111111109</v>
      </c>
      <c r="G12" s="45"/>
      <c r="H12" s="46"/>
      <c r="I12" s="47">
        <v>7200</v>
      </c>
      <c r="J12" s="48">
        <f t="shared" si="1"/>
        <v>600</v>
      </c>
      <c r="K12" s="74" t="s">
        <v>542</v>
      </c>
    </row>
    <row r="13" spans="1:14" x14ac:dyDescent="0.25">
      <c r="A13" s="127" t="s">
        <v>290</v>
      </c>
      <c r="B13" s="43">
        <v>3</v>
      </c>
      <c r="C13" s="49">
        <f>-8292+2029</f>
        <v>-6263</v>
      </c>
      <c r="D13" s="50">
        <v>-6430</v>
      </c>
      <c r="E13" s="50">
        <v>-5132.2700000000004</v>
      </c>
      <c r="F13" s="50">
        <f>E13/9</f>
        <v>-570.25222222222226</v>
      </c>
      <c r="G13" s="50"/>
      <c r="H13" s="51">
        <f>D13*$N$7</f>
        <v>-192.9</v>
      </c>
      <c r="I13" s="52">
        <v>-6850</v>
      </c>
      <c r="J13" s="53">
        <f t="shared" si="1"/>
        <v>-570.83333333333337</v>
      </c>
      <c r="K13" s="74" t="s">
        <v>541</v>
      </c>
    </row>
    <row r="14" spans="1:14" x14ac:dyDescent="0.25">
      <c r="A14" s="128" t="s">
        <v>81</v>
      </c>
      <c r="B14" s="43"/>
      <c r="C14" s="28">
        <f>SUM(C4:C13)</f>
        <v>-516103.45</v>
      </c>
      <c r="D14" s="45">
        <f>SUM(D4:D13)</f>
        <v>-421386</v>
      </c>
      <c r="E14" s="45">
        <f>SUM(E5:E13)</f>
        <v>-319486.94</v>
      </c>
      <c r="F14" s="45">
        <f>SUM(F5:F13)</f>
        <v>-35498.548888888901</v>
      </c>
      <c r="G14" s="45"/>
      <c r="H14" s="46">
        <f>SUM(H4:H13)</f>
        <v>-81.900000000000006</v>
      </c>
      <c r="I14" s="46">
        <f>SUM(I5:I13)</f>
        <v>-468900</v>
      </c>
      <c r="J14" s="48">
        <f>SUM(J4:J13)</f>
        <v>-39075.000000000007</v>
      </c>
      <c r="K14" s="74"/>
    </row>
    <row r="15" spans="1:14" x14ac:dyDescent="0.25">
      <c r="A15" s="127"/>
      <c r="B15" s="43"/>
      <c r="C15" s="28"/>
      <c r="D15" s="45"/>
      <c r="E15" s="45"/>
      <c r="F15" s="45"/>
      <c r="G15" s="45"/>
      <c r="H15" s="46"/>
      <c r="I15" s="46"/>
      <c r="J15" s="48"/>
    </row>
    <row r="16" spans="1:14" x14ac:dyDescent="0.25">
      <c r="A16" s="127" t="s">
        <v>82</v>
      </c>
      <c r="B16" s="43"/>
      <c r="C16" s="28">
        <f>C47</f>
        <v>272406.05</v>
      </c>
      <c r="D16" s="45">
        <f t="shared" ref="D16:E16" si="2">D47</f>
        <v>136815</v>
      </c>
      <c r="E16" s="45">
        <f t="shared" si="2"/>
        <v>106105.39999999998</v>
      </c>
      <c r="F16" s="45">
        <f>E16/9</f>
        <v>11789.488888888887</v>
      </c>
      <c r="G16" s="45"/>
      <c r="H16" s="46" t="e">
        <f>H47</f>
        <v>#REF!</v>
      </c>
      <c r="I16" s="46">
        <f>I47</f>
        <v>144430.264</v>
      </c>
      <c r="J16" s="48">
        <f>J47</f>
        <v>12035.855333333335</v>
      </c>
    </row>
    <row r="17" spans="1:14" x14ac:dyDescent="0.25">
      <c r="A17" s="127" t="s">
        <v>90</v>
      </c>
      <c r="B17" s="43"/>
      <c r="C17" s="28">
        <f t="shared" ref="C17:J17" si="3">C54</f>
        <v>132359.13</v>
      </c>
      <c r="D17" s="45">
        <f t="shared" si="3"/>
        <v>70950</v>
      </c>
      <c r="E17" s="45">
        <f t="shared" si="3"/>
        <v>38550.579999999994</v>
      </c>
      <c r="F17" s="45">
        <f t="shared" ref="F17:F21" si="4">E17/9</f>
        <v>4283.3977777777773</v>
      </c>
      <c r="G17" s="45"/>
      <c r="H17" s="46">
        <f t="shared" si="3"/>
        <v>4501.1000000000004</v>
      </c>
      <c r="I17" s="46">
        <f t="shared" si="3"/>
        <v>53309.997866666672</v>
      </c>
      <c r="J17" s="48">
        <f t="shared" si="3"/>
        <v>4442.499822222223</v>
      </c>
      <c r="K17" s="74"/>
    </row>
    <row r="18" spans="1:14" x14ac:dyDescent="0.25">
      <c r="A18" s="127" t="s">
        <v>95</v>
      </c>
      <c r="B18" s="43"/>
      <c r="C18" s="28">
        <f>C71</f>
        <v>279758.26</v>
      </c>
      <c r="D18" s="45">
        <f t="shared" ref="D18:E18" si="5">D71</f>
        <v>70480</v>
      </c>
      <c r="E18" s="45">
        <f t="shared" si="5"/>
        <v>62876.959999999999</v>
      </c>
      <c r="F18" s="45">
        <f t="shared" si="4"/>
        <v>6986.3288888888892</v>
      </c>
      <c r="G18" s="45"/>
      <c r="H18" s="54">
        <f>H71</f>
        <v>2114.4</v>
      </c>
      <c r="I18" s="46">
        <f>I71</f>
        <v>114509.8</v>
      </c>
      <c r="J18" s="48">
        <f>J71</f>
        <v>9542.4833333333336</v>
      </c>
    </row>
    <row r="19" spans="1:14" x14ac:dyDescent="0.25">
      <c r="A19" s="127" t="s">
        <v>83</v>
      </c>
      <c r="B19" s="43"/>
      <c r="C19" s="28">
        <f>C82</f>
        <v>330903.68999999994</v>
      </c>
      <c r="D19" s="45">
        <f t="shared" ref="D19:E19" si="6">D82</f>
        <v>347060</v>
      </c>
      <c r="E19" s="45">
        <f t="shared" si="6"/>
        <v>259914.34</v>
      </c>
      <c r="F19" s="45">
        <f t="shared" si="4"/>
        <v>28879.371111111112</v>
      </c>
      <c r="G19" s="45"/>
      <c r="H19" s="46" t="e">
        <f>H82</f>
        <v>#REF!</v>
      </c>
      <c r="I19" s="46">
        <f>I82</f>
        <v>366790</v>
      </c>
      <c r="J19" s="48">
        <f>J82</f>
        <v>30565.833333333332</v>
      </c>
      <c r="K19" s="74"/>
    </row>
    <row r="20" spans="1:14" x14ac:dyDescent="0.25">
      <c r="A20" s="127" t="s">
        <v>302</v>
      </c>
      <c r="B20" s="43"/>
      <c r="C20" s="28">
        <f>C87</f>
        <v>452336.52</v>
      </c>
      <c r="D20" s="45">
        <f t="shared" ref="D20:E20" si="7">D87</f>
        <v>124857</v>
      </c>
      <c r="E20" s="45">
        <f t="shared" si="7"/>
        <v>117752</v>
      </c>
      <c r="F20" s="45">
        <f t="shared" si="4"/>
        <v>13083.555555555555</v>
      </c>
      <c r="G20" s="45"/>
      <c r="H20" s="46">
        <f>H87</f>
        <v>0</v>
      </c>
      <c r="I20" s="46">
        <f>I87</f>
        <v>23400</v>
      </c>
      <c r="J20" s="48">
        <f>J87</f>
        <v>1950</v>
      </c>
      <c r="K20" s="74"/>
    </row>
    <row r="21" spans="1:14" x14ac:dyDescent="0.25">
      <c r="A21" s="127" t="s">
        <v>84</v>
      </c>
      <c r="B21" s="43"/>
      <c r="C21" s="28">
        <f>C91</f>
        <v>35806.879999999997</v>
      </c>
      <c r="D21" s="45">
        <f t="shared" ref="D21:E21" si="8">D91</f>
        <v>13660</v>
      </c>
      <c r="E21" s="45">
        <f t="shared" si="8"/>
        <v>9945</v>
      </c>
      <c r="F21" s="45">
        <f t="shared" si="4"/>
        <v>1105</v>
      </c>
      <c r="G21" s="45"/>
      <c r="H21" s="46">
        <f>H91</f>
        <v>0</v>
      </c>
      <c r="I21" s="46">
        <f>I91</f>
        <v>14070</v>
      </c>
      <c r="J21" s="48">
        <f>J91</f>
        <v>1172.5</v>
      </c>
      <c r="K21" s="55"/>
      <c r="L21" s="22"/>
    </row>
    <row r="22" spans="1:14" x14ac:dyDescent="0.25">
      <c r="A22" s="127" t="s">
        <v>85</v>
      </c>
      <c r="B22" s="43"/>
      <c r="C22" s="56">
        <f>C104</f>
        <v>56347.270000000004</v>
      </c>
      <c r="D22" s="50">
        <f t="shared" ref="D22:E22" si="9">D104</f>
        <v>8700</v>
      </c>
      <c r="E22" s="50">
        <f t="shared" si="9"/>
        <v>8403</v>
      </c>
      <c r="F22" s="50">
        <f>E22/9</f>
        <v>933.66666666666663</v>
      </c>
      <c r="G22" s="50"/>
      <c r="H22" s="51">
        <f>H104</f>
        <v>21</v>
      </c>
      <c r="I22" s="51">
        <f>I104</f>
        <v>14600</v>
      </c>
      <c r="J22" s="53">
        <f>J104</f>
        <v>1216.6666666666667</v>
      </c>
      <c r="K22" s="55"/>
    </row>
    <row r="23" spans="1:14" x14ac:dyDescent="0.25">
      <c r="A23" s="127" t="s">
        <v>86</v>
      </c>
      <c r="B23" s="43"/>
      <c r="C23" s="57">
        <f>SUM(C16:C22)</f>
        <v>1559917.7999999998</v>
      </c>
      <c r="D23" s="58">
        <f t="shared" ref="D23:F23" si="10">SUM(D16:D22)</f>
        <v>772522</v>
      </c>
      <c r="E23" s="58">
        <f t="shared" si="10"/>
        <v>603547.28</v>
      </c>
      <c r="F23" s="58">
        <f t="shared" si="10"/>
        <v>67060.808888888903</v>
      </c>
      <c r="G23" s="50"/>
      <c r="H23" s="51" t="e">
        <f>SUM(H16:H22)</f>
        <v>#REF!</v>
      </c>
      <c r="I23" s="59">
        <f t="shared" ref="I23:J23" si="11">SUM(I16:I22)</f>
        <v>731110.06186666666</v>
      </c>
      <c r="J23" s="60">
        <f t="shared" si="11"/>
        <v>60925.83848888889</v>
      </c>
      <c r="K23" s="55"/>
    </row>
    <row r="24" spans="1:14" x14ac:dyDescent="0.25">
      <c r="A24" s="127"/>
      <c r="B24" s="43"/>
      <c r="C24" s="28"/>
      <c r="D24" s="45"/>
      <c r="E24" s="45"/>
      <c r="F24" s="45"/>
      <c r="G24" s="45"/>
      <c r="H24" s="46"/>
      <c r="I24" s="46"/>
      <c r="J24" s="48"/>
      <c r="K24" s="55"/>
    </row>
    <row r="25" spans="1:14" ht="15.75" thickBot="1" x14ac:dyDescent="0.3">
      <c r="A25" s="129" t="s">
        <v>87</v>
      </c>
      <c r="B25" s="61"/>
      <c r="C25" s="62">
        <f>SUM(-C14-C23)</f>
        <v>-1043814.3499999999</v>
      </c>
      <c r="D25" s="63">
        <f t="shared" ref="D25:F25" si="12">SUM(D14+D23)</f>
        <v>351136</v>
      </c>
      <c r="E25" s="63">
        <f t="shared" si="12"/>
        <v>284060.34000000003</v>
      </c>
      <c r="F25" s="63">
        <f t="shared" si="12"/>
        <v>31562.260000000002</v>
      </c>
      <c r="G25" s="63"/>
      <c r="H25" s="64" t="e">
        <f>SUM(-H14-H23)</f>
        <v>#REF!</v>
      </c>
      <c r="I25" s="64">
        <f>SUM(I14+I23)</f>
        <v>262210.06186666666</v>
      </c>
      <c r="J25" s="65">
        <f>SUM(J14+J23)</f>
        <v>21850.838488888883</v>
      </c>
      <c r="K25" s="55"/>
    </row>
    <row r="26" spans="1:14" x14ac:dyDescent="0.25">
      <c r="A26" s="128" t="s">
        <v>454</v>
      </c>
      <c r="B26" s="43"/>
      <c r="C26" s="28"/>
      <c r="D26" s="45"/>
      <c r="E26" s="45"/>
      <c r="F26" s="45"/>
      <c r="G26" s="45"/>
      <c r="H26" s="46"/>
      <c r="I26" s="46"/>
      <c r="J26" s="48"/>
      <c r="K26" s="55"/>
    </row>
    <row r="27" spans="1:14" x14ac:dyDescent="0.25">
      <c r="A27" s="127" t="s">
        <v>38</v>
      </c>
      <c r="B27" s="66">
        <v>3</v>
      </c>
      <c r="C27" s="28">
        <f>SUM('[2]2014'!C9:E9)+18</f>
        <v>-29524.57</v>
      </c>
      <c r="D27" s="29">
        <v>200</v>
      </c>
      <c r="E27" s="28">
        <v>0</v>
      </c>
      <c r="F27" s="28">
        <f>E27/9</f>
        <v>0</v>
      </c>
      <c r="G27" s="28"/>
      <c r="H27" s="29">
        <v>0</v>
      </c>
      <c r="I27" s="46">
        <v>150</v>
      </c>
      <c r="J27" s="30">
        <f t="shared" ref="J27:J95" si="13">I27/12</f>
        <v>12.5</v>
      </c>
      <c r="K27" s="55"/>
    </row>
    <row r="28" spans="1:14" x14ac:dyDescent="0.25">
      <c r="A28" s="127" t="s">
        <v>40</v>
      </c>
      <c r="B28" s="43">
        <v>3</v>
      </c>
      <c r="C28" s="44">
        <f>10588.22-103</f>
        <v>10485.219999999999</v>
      </c>
      <c r="D28" s="29">
        <v>2440</v>
      </c>
      <c r="E28" s="28">
        <v>1842.26</v>
      </c>
      <c r="F28" s="28">
        <f t="shared" ref="F28:F45" si="14">E28/9</f>
        <v>204.69555555555556</v>
      </c>
      <c r="G28" s="28"/>
      <c r="H28" s="29">
        <f>D28*$N$7</f>
        <v>73.2</v>
      </c>
      <c r="I28" s="46">
        <v>2530.0370666666668</v>
      </c>
      <c r="J28" s="30">
        <f t="shared" si="13"/>
        <v>210.83642222222224</v>
      </c>
      <c r="N28" s="31">
        <f>E28*N4</f>
        <v>1897.5278000000001</v>
      </c>
    </row>
    <row r="29" spans="1:14" x14ac:dyDescent="0.25">
      <c r="A29" s="127" t="s">
        <v>41</v>
      </c>
      <c r="B29" s="43">
        <v>3</v>
      </c>
      <c r="C29" s="44">
        <f>6773-1</f>
        <v>6772</v>
      </c>
      <c r="D29" s="29">
        <v>100</v>
      </c>
      <c r="E29" s="28">
        <v>161.55000000000001</v>
      </c>
      <c r="F29" s="28">
        <f t="shared" si="14"/>
        <v>17.950000000000003</v>
      </c>
      <c r="G29" s="28"/>
      <c r="H29" s="29" t="e">
        <f>D29*#REF!</f>
        <v>#REF!</v>
      </c>
      <c r="I29" s="46">
        <v>220</v>
      </c>
      <c r="J29" s="30">
        <f>I29/12</f>
        <v>18.333333333333332</v>
      </c>
    </row>
    <row r="30" spans="1:14" x14ac:dyDescent="0.25">
      <c r="A30" s="127" t="s">
        <v>323</v>
      </c>
      <c r="B30" s="43">
        <v>3</v>
      </c>
      <c r="C30" s="44">
        <v>815</v>
      </c>
      <c r="D30" s="29">
        <v>320</v>
      </c>
      <c r="E30" s="28">
        <v>552.5</v>
      </c>
      <c r="F30" s="28">
        <f t="shared" si="14"/>
        <v>61.388888888888886</v>
      </c>
      <c r="G30" s="28"/>
      <c r="H30" s="29">
        <f>D30*$N$7</f>
        <v>9.6</v>
      </c>
      <c r="I30" s="46">
        <v>760</v>
      </c>
      <c r="J30" s="30">
        <f t="shared" si="13"/>
        <v>63.333333333333336</v>
      </c>
      <c r="N30" s="124">
        <f>N28+D28</f>
        <v>4337.5277999999998</v>
      </c>
    </row>
    <row r="31" spans="1:14" x14ac:dyDescent="0.25">
      <c r="A31" s="127" t="s">
        <v>528</v>
      </c>
      <c r="B31" s="43"/>
      <c r="C31" s="44"/>
      <c r="D31" s="29">
        <v>0</v>
      </c>
      <c r="E31" s="28">
        <v>67.7</v>
      </c>
      <c r="F31" s="28">
        <f t="shared" si="14"/>
        <v>7.5222222222222221</v>
      </c>
      <c r="G31" s="28"/>
      <c r="H31" s="29"/>
      <c r="I31" s="46">
        <v>90</v>
      </c>
      <c r="J31" s="30">
        <f t="shared" si="13"/>
        <v>7.5</v>
      </c>
      <c r="L31" s="31">
        <f>E31/9*12</f>
        <v>90.266666666666666</v>
      </c>
    </row>
    <row r="32" spans="1:14" x14ac:dyDescent="0.25">
      <c r="A32" s="127" t="s">
        <v>333</v>
      </c>
      <c r="B32" s="43">
        <v>3</v>
      </c>
      <c r="C32" s="44">
        <v>87</v>
      </c>
      <c r="D32" s="29">
        <v>0</v>
      </c>
      <c r="E32" s="28">
        <v>0</v>
      </c>
      <c r="F32" s="28">
        <f t="shared" si="14"/>
        <v>0</v>
      </c>
      <c r="G32" s="28"/>
      <c r="H32" s="29">
        <f>D32*$N$7</f>
        <v>0</v>
      </c>
      <c r="I32" s="46">
        <v>420</v>
      </c>
      <c r="J32" s="30">
        <f t="shared" si="13"/>
        <v>35</v>
      </c>
    </row>
    <row r="33" spans="1:11" x14ac:dyDescent="0.25">
      <c r="A33" s="127" t="s">
        <v>276</v>
      </c>
      <c r="B33" s="43">
        <v>3</v>
      </c>
      <c r="C33" s="44">
        <f>71690.25+3053</f>
        <v>74743.25</v>
      </c>
      <c r="D33" s="29">
        <v>24730</v>
      </c>
      <c r="E33" s="28">
        <v>18261.580000000002</v>
      </c>
      <c r="F33" s="28">
        <f t="shared" si="14"/>
        <v>2029.0644444444447</v>
      </c>
      <c r="G33" s="28"/>
      <c r="H33" s="29" t="e">
        <f>D33*#REF!</f>
        <v>#REF!</v>
      </c>
      <c r="I33" s="46">
        <v>25080</v>
      </c>
      <c r="J33" s="30">
        <f t="shared" si="13"/>
        <v>2090</v>
      </c>
    </row>
    <row r="34" spans="1:11" x14ac:dyDescent="0.25">
      <c r="A34" s="127" t="s">
        <v>506</v>
      </c>
      <c r="B34" s="43"/>
      <c r="C34" s="44"/>
      <c r="D34" s="29">
        <v>2400</v>
      </c>
      <c r="E34" s="28">
        <v>2400</v>
      </c>
      <c r="F34" s="28">
        <f t="shared" si="14"/>
        <v>266.66666666666669</v>
      </c>
      <c r="G34" s="28"/>
      <c r="H34" s="29"/>
      <c r="I34" s="46">
        <v>2400</v>
      </c>
      <c r="J34" s="30">
        <f t="shared" si="13"/>
        <v>200</v>
      </c>
      <c r="K34" s="74" t="s">
        <v>529</v>
      </c>
    </row>
    <row r="35" spans="1:11" x14ac:dyDescent="0.25">
      <c r="A35" s="127" t="s">
        <v>507</v>
      </c>
      <c r="B35" s="43"/>
      <c r="C35" s="44"/>
      <c r="D35" s="29">
        <v>32781</v>
      </c>
      <c r="E35" s="28">
        <v>32781</v>
      </c>
      <c r="F35" s="28">
        <f t="shared" si="14"/>
        <v>3642.3333333333335</v>
      </c>
      <c r="G35" s="28"/>
      <c r="H35" s="29"/>
      <c r="I35" s="46">
        <v>33760</v>
      </c>
      <c r="J35" s="30">
        <f t="shared" si="13"/>
        <v>2813.3333333333335</v>
      </c>
    </row>
    <row r="36" spans="1:11" x14ac:dyDescent="0.25">
      <c r="A36" s="127" t="s">
        <v>508</v>
      </c>
      <c r="B36" s="43"/>
      <c r="C36" s="44"/>
      <c r="D36" s="29">
        <v>5464</v>
      </c>
      <c r="E36" s="28">
        <v>5464</v>
      </c>
      <c r="F36" s="28">
        <f t="shared" si="14"/>
        <v>607.11111111111109</v>
      </c>
      <c r="G36" s="28"/>
      <c r="H36" s="29"/>
      <c r="I36" s="46">
        <v>5630</v>
      </c>
      <c r="J36" s="30">
        <f t="shared" si="13"/>
        <v>469.16666666666669</v>
      </c>
    </row>
    <row r="37" spans="1:11" x14ac:dyDescent="0.25">
      <c r="A37" s="127" t="s">
        <v>364</v>
      </c>
      <c r="B37" s="43"/>
      <c r="C37" s="44"/>
      <c r="D37" s="29">
        <v>6370</v>
      </c>
      <c r="E37" s="28">
        <v>3075</v>
      </c>
      <c r="F37" s="28">
        <f t="shared" si="14"/>
        <v>341.66666666666669</v>
      </c>
      <c r="G37" s="28"/>
      <c r="H37" s="29"/>
      <c r="I37" s="46">
        <v>4220</v>
      </c>
      <c r="J37" s="30">
        <f t="shared" si="13"/>
        <v>351.66666666666669</v>
      </c>
    </row>
    <row r="38" spans="1:11" x14ac:dyDescent="0.25">
      <c r="A38" s="127" t="s">
        <v>305</v>
      </c>
      <c r="B38" s="43">
        <v>3</v>
      </c>
      <c r="C38" s="44">
        <f>86765.11+45177</f>
        <v>131942.10999999999</v>
      </c>
      <c r="D38" s="29">
        <v>31940</v>
      </c>
      <c r="E38" s="28">
        <v>24423.46</v>
      </c>
      <c r="F38" s="28">
        <f t="shared" si="14"/>
        <v>2713.7177777777779</v>
      </c>
      <c r="G38" s="28"/>
      <c r="H38" s="29">
        <f t="shared" ref="H38:H46" si="15">D38*$N$7</f>
        <v>958.19999999999993</v>
      </c>
      <c r="I38" s="46">
        <v>44790</v>
      </c>
      <c r="J38" s="30">
        <f t="shared" si="13"/>
        <v>3732.5</v>
      </c>
    </row>
    <row r="39" spans="1:11" x14ac:dyDescent="0.25">
      <c r="A39" s="127" t="s">
        <v>253</v>
      </c>
      <c r="B39" s="43"/>
      <c r="C39" s="44"/>
      <c r="D39" s="29">
        <v>480</v>
      </c>
      <c r="E39" s="28">
        <v>592</v>
      </c>
      <c r="F39" s="28">
        <f t="shared" si="14"/>
        <v>65.777777777777771</v>
      </c>
      <c r="G39" s="28"/>
      <c r="H39" s="29">
        <v>0</v>
      </c>
      <c r="I39" s="46">
        <v>810</v>
      </c>
      <c r="J39" s="30">
        <f t="shared" si="13"/>
        <v>67.5</v>
      </c>
    </row>
    <row r="40" spans="1:11" x14ac:dyDescent="0.25">
      <c r="A40" s="127" t="s">
        <v>365</v>
      </c>
      <c r="B40" s="43">
        <v>3</v>
      </c>
      <c r="C40" s="44">
        <f>4247.25-1013</f>
        <v>3234.25</v>
      </c>
      <c r="D40" s="29">
        <v>10590</v>
      </c>
      <c r="E40" s="28">
        <v>9000</v>
      </c>
      <c r="F40" s="28">
        <f t="shared" si="14"/>
        <v>1000</v>
      </c>
      <c r="G40" s="28"/>
      <c r="H40" s="29">
        <f t="shared" si="15"/>
        <v>317.7</v>
      </c>
      <c r="I40" s="46">
        <v>12360</v>
      </c>
      <c r="J40" s="30">
        <f t="shared" si="13"/>
        <v>1030</v>
      </c>
    </row>
    <row r="41" spans="1:11" x14ac:dyDescent="0.25">
      <c r="A41" s="127" t="s">
        <v>377</v>
      </c>
      <c r="B41" s="43">
        <v>3</v>
      </c>
      <c r="C41" s="44">
        <f>13284.5+667</f>
        <v>13951.5</v>
      </c>
      <c r="D41" s="29">
        <v>5290</v>
      </c>
      <c r="E41" s="28">
        <v>3777.6</v>
      </c>
      <c r="F41" s="28">
        <f t="shared" si="14"/>
        <v>419.73333333333335</v>
      </c>
      <c r="G41" s="28"/>
      <c r="H41" s="29">
        <f t="shared" si="15"/>
        <v>158.69999999999999</v>
      </c>
      <c r="I41" s="46">
        <v>5190</v>
      </c>
      <c r="J41" s="30">
        <f t="shared" si="13"/>
        <v>432.5</v>
      </c>
    </row>
    <row r="42" spans="1:11" x14ac:dyDescent="0.25">
      <c r="A42" s="127" t="s">
        <v>337</v>
      </c>
      <c r="B42" s="43">
        <v>3</v>
      </c>
      <c r="C42" s="44">
        <f>1713.84+907</f>
        <v>2620.84</v>
      </c>
      <c r="D42" s="29">
        <v>1710</v>
      </c>
      <c r="E42" s="28">
        <v>1194.3399999999999</v>
      </c>
      <c r="F42" s="28">
        <f t="shared" si="14"/>
        <v>132.70444444444445</v>
      </c>
      <c r="G42" s="28"/>
      <c r="H42" s="29">
        <f t="shared" si="15"/>
        <v>51.3</v>
      </c>
      <c r="I42" s="46">
        <v>1640.2269333333334</v>
      </c>
      <c r="J42" s="30">
        <f t="shared" si="13"/>
        <v>136.68557777777778</v>
      </c>
    </row>
    <row r="43" spans="1:11" x14ac:dyDescent="0.25">
      <c r="A43" s="127" t="s">
        <v>278</v>
      </c>
      <c r="B43" s="43">
        <v>3</v>
      </c>
      <c r="C43" s="44">
        <f>6528.88+227</f>
        <v>6755.88</v>
      </c>
      <c r="D43" s="29">
        <f>270+410</f>
        <v>680</v>
      </c>
      <c r="E43" s="28">
        <f>285.6+228.55</f>
        <v>514.15000000000009</v>
      </c>
      <c r="F43" s="28">
        <f t="shared" si="14"/>
        <v>57.127777777777787</v>
      </c>
      <c r="G43" s="28"/>
      <c r="H43" s="29">
        <f t="shared" si="15"/>
        <v>20.399999999999999</v>
      </c>
      <c r="I43" s="29">
        <v>1240</v>
      </c>
      <c r="J43" s="30">
        <f t="shared" si="13"/>
        <v>103.33333333333333</v>
      </c>
      <c r="K43" s="74" t="s">
        <v>628</v>
      </c>
    </row>
    <row r="44" spans="1:11" x14ac:dyDescent="0.25">
      <c r="A44" s="127" t="s">
        <v>378</v>
      </c>
      <c r="B44" s="43">
        <v>3</v>
      </c>
      <c r="C44" s="44">
        <f>14709.67-4399</f>
        <v>10310.67</v>
      </c>
      <c r="D44" s="29">
        <v>9220</v>
      </c>
      <c r="E44" s="28">
        <v>806.51</v>
      </c>
      <c r="F44" s="28">
        <f t="shared" si="14"/>
        <v>89.612222222222215</v>
      </c>
      <c r="G44" s="28"/>
      <c r="H44" s="29">
        <f t="shared" si="15"/>
        <v>276.59999999999997</v>
      </c>
      <c r="I44" s="29">
        <v>1110</v>
      </c>
      <c r="J44" s="30">
        <f t="shared" si="13"/>
        <v>92.5</v>
      </c>
    </row>
    <row r="45" spans="1:11" x14ac:dyDescent="0.25">
      <c r="A45" s="127" t="s">
        <v>226</v>
      </c>
      <c r="B45" s="43">
        <v>3</v>
      </c>
      <c r="C45" s="44">
        <f>2291.73+4203</f>
        <v>6494.73</v>
      </c>
      <c r="D45" s="29">
        <v>1450</v>
      </c>
      <c r="E45" s="28">
        <v>672.34</v>
      </c>
      <c r="F45" s="28">
        <f t="shared" si="14"/>
        <v>74.704444444444448</v>
      </c>
      <c r="G45" s="28"/>
      <c r="H45" s="29">
        <f t="shared" si="15"/>
        <v>43.5</v>
      </c>
      <c r="I45" s="29">
        <v>1320</v>
      </c>
      <c r="J45" s="30">
        <f t="shared" si="13"/>
        <v>110</v>
      </c>
      <c r="K45" s="74" t="s">
        <v>543</v>
      </c>
    </row>
    <row r="46" spans="1:11" x14ac:dyDescent="0.25">
      <c r="A46" s="127" t="s">
        <v>279</v>
      </c>
      <c r="B46" s="43">
        <v>3</v>
      </c>
      <c r="C46" s="49">
        <f>4190.6+3</f>
        <v>4193.6000000000004</v>
      </c>
      <c r="D46" s="67">
        <v>650</v>
      </c>
      <c r="E46" s="56">
        <v>519.41</v>
      </c>
      <c r="F46" s="56">
        <f>E46/9</f>
        <v>57.712222222222216</v>
      </c>
      <c r="G46" s="56"/>
      <c r="H46" s="67">
        <f t="shared" si="15"/>
        <v>19.5</v>
      </c>
      <c r="I46" s="67">
        <v>710</v>
      </c>
      <c r="J46" s="68">
        <f t="shared" si="13"/>
        <v>59.166666666666664</v>
      </c>
    </row>
    <row r="47" spans="1:11" x14ac:dyDescent="0.25">
      <c r="A47" s="128" t="s">
        <v>88</v>
      </c>
      <c r="B47" s="43"/>
      <c r="C47" s="28">
        <f>SUM(C28:C46)</f>
        <v>272406.05</v>
      </c>
      <c r="D47" s="28">
        <f>SUM(D27:D46)</f>
        <v>136815</v>
      </c>
      <c r="E47" s="28">
        <f>SUM(E27:E46)</f>
        <v>106105.39999999998</v>
      </c>
      <c r="F47" s="28">
        <f>SUM(F27:F46)</f>
        <v>11789.488888888889</v>
      </c>
      <c r="G47" s="28"/>
      <c r="H47" s="29" t="e">
        <f>SUM(H27:H46)</f>
        <v>#REF!</v>
      </c>
      <c r="I47" s="29">
        <f>SUM(I27:I46)</f>
        <v>144430.264</v>
      </c>
      <c r="J47" s="30">
        <f>SUM(J27:J46)</f>
        <v>12035.855333333335</v>
      </c>
    </row>
    <row r="48" spans="1:11" ht="9.75" customHeight="1" x14ac:dyDescent="0.25">
      <c r="A48" s="127"/>
      <c r="B48" s="43"/>
      <c r="C48" s="28"/>
      <c r="D48" s="28"/>
      <c r="E48" s="28"/>
      <c r="F48" s="28"/>
      <c r="G48" s="28"/>
      <c r="H48" s="29"/>
      <c r="I48" s="29"/>
      <c r="J48" s="30"/>
    </row>
    <row r="49" spans="1:13" x14ac:dyDescent="0.25">
      <c r="A49" s="128" t="s">
        <v>455</v>
      </c>
      <c r="B49" s="43"/>
      <c r="C49" s="28"/>
      <c r="D49" s="28"/>
      <c r="E49" s="28"/>
      <c r="F49" s="28"/>
      <c r="G49" s="28"/>
      <c r="H49" s="29"/>
      <c r="I49" s="29"/>
      <c r="J49" s="30"/>
    </row>
    <row r="50" spans="1:13" x14ac:dyDescent="0.25">
      <c r="A50" s="127" t="s">
        <v>227</v>
      </c>
      <c r="B50" s="43">
        <v>3</v>
      </c>
      <c r="C50" s="44">
        <f>56950.41+3891</f>
        <v>60841.41</v>
      </c>
      <c r="D50" s="29">
        <v>35160</v>
      </c>
      <c r="E50" s="28">
        <v>22600.959999999999</v>
      </c>
      <c r="F50" s="28">
        <f>E50/9</f>
        <v>2511.2177777777779</v>
      </c>
      <c r="G50" s="28"/>
      <c r="H50" s="29">
        <f>D50*$M$50</f>
        <v>2461.2000000000003</v>
      </c>
      <c r="I50" s="29">
        <v>31339.997866666668</v>
      </c>
      <c r="J50" s="30">
        <f t="shared" ref="J50:J53" si="16">I50/12</f>
        <v>2611.666488888889</v>
      </c>
      <c r="K50" s="74" t="s">
        <v>530</v>
      </c>
      <c r="M50" s="26">
        <v>7.0000000000000007E-2</v>
      </c>
    </row>
    <row r="51" spans="1:13" x14ac:dyDescent="0.25">
      <c r="A51" s="127" t="s">
        <v>47</v>
      </c>
      <c r="B51" s="43">
        <v>3</v>
      </c>
      <c r="C51" s="44">
        <f>24876.05-105</f>
        <v>24771.05</v>
      </c>
      <c r="D51" s="29">
        <v>20200</v>
      </c>
      <c r="E51" s="28">
        <v>2779.1</v>
      </c>
      <c r="F51" s="28">
        <f t="shared" ref="F51:F52" si="17">E51/9</f>
        <v>308.78888888888889</v>
      </c>
      <c r="G51" s="28"/>
      <c r="H51" s="29">
        <f>D51*$M$51</f>
        <v>1010</v>
      </c>
      <c r="I51" s="29">
        <v>3850</v>
      </c>
      <c r="J51" s="30">
        <f t="shared" si="16"/>
        <v>320.83333333333331</v>
      </c>
      <c r="K51" s="74" t="s">
        <v>531</v>
      </c>
      <c r="M51" s="26">
        <v>0.05</v>
      </c>
    </row>
    <row r="52" spans="1:13" x14ac:dyDescent="0.25">
      <c r="A52" s="127" t="s">
        <v>48</v>
      </c>
      <c r="B52" s="43">
        <v>3</v>
      </c>
      <c r="C52" s="44">
        <f>24845.71+7959</f>
        <v>32804.71</v>
      </c>
      <c r="D52" s="29">
        <v>12520</v>
      </c>
      <c r="E52" s="28">
        <v>11116.42</v>
      </c>
      <c r="F52" s="28">
        <f t="shared" si="17"/>
        <v>1235.1577777777777</v>
      </c>
      <c r="G52" s="28"/>
      <c r="H52" s="29">
        <f>D52*$M$52</f>
        <v>876.40000000000009</v>
      </c>
      <c r="I52" s="29">
        <v>15270</v>
      </c>
      <c r="J52" s="30">
        <f t="shared" si="16"/>
        <v>1272.5</v>
      </c>
      <c r="K52" s="74" t="s">
        <v>532</v>
      </c>
      <c r="M52" s="26">
        <v>7.0000000000000007E-2</v>
      </c>
    </row>
    <row r="53" spans="1:13" x14ac:dyDescent="0.25">
      <c r="A53" s="127" t="s">
        <v>49</v>
      </c>
      <c r="B53" s="43">
        <v>3</v>
      </c>
      <c r="C53" s="44">
        <f>12400.96+1541</f>
        <v>13941.96</v>
      </c>
      <c r="D53" s="67">
        <v>3070</v>
      </c>
      <c r="E53" s="56">
        <v>2054.1</v>
      </c>
      <c r="F53" s="56">
        <f>E53/9</f>
        <v>228.23333333333332</v>
      </c>
      <c r="G53" s="56"/>
      <c r="H53" s="67">
        <f>D53*$M$53</f>
        <v>153.5</v>
      </c>
      <c r="I53" s="67">
        <v>2850</v>
      </c>
      <c r="J53" s="68">
        <f t="shared" si="16"/>
        <v>237.5</v>
      </c>
      <c r="K53" s="74" t="s">
        <v>531</v>
      </c>
      <c r="M53" s="26">
        <v>0.05</v>
      </c>
    </row>
    <row r="54" spans="1:13" x14ac:dyDescent="0.25">
      <c r="A54" s="128" t="s">
        <v>307</v>
      </c>
      <c r="B54" s="43"/>
      <c r="C54" s="28">
        <f>SUM(C50:C53)</f>
        <v>132359.13</v>
      </c>
      <c r="D54" s="28">
        <f>SUM(D50:D53)</f>
        <v>70950</v>
      </c>
      <c r="E54" s="28">
        <f>SUM(E50:E53)</f>
        <v>38550.579999999994</v>
      </c>
      <c r="F54" s="28">
        <f>SUM(F50:F53)</f>
        <v>4283.3977777777782</v>
      </c>
      <c r="G54" s="28"/>
      <c r="H54" s="28">
        <f>SUM(H50:H53)</f>
        <v>4501.1000000000004</v>
      </c>
      <c r="I54" s="29">
        <f>SUM(I50:I53)</f>
        <v>53309.997866666672</v>
      </c>
      <c r="J54" s="30">
        <f t="shared" si="13"/>
        <v>4442.499822222223</v>
      </c>
      <c r="K54" s="74"/>
    </row>
    <row r="55" spans="1:13" ht="5.25" customHeight="1" x14ac:dyDescent="0.25">
      <c r="A55" s="127"/>
      <c r="B55" s="43"/>
      <c r="C55" s="44"/>
      <c r="D55" s="29"/>
      <c r="E55" s="28"/>
      <c r="F55" s="28"/>
      <c r="G55" s="28"/>
      <c r="H55" s="29"/>
      <c r="I55" s="29"/>
      <c r="J55" s="30"/>
      <c r="K55" s="74"/>
      <c r="M55" s="26"/>
    </row>
    <row r="56" spans="1:13" x14ac:dyDescent="0.25">
      <c r="A56" s="128" t="s">
        <v>456</v>
      </c>
      <c r="B56" s="43"/>
      <c r="C56" s="28"/>
      <c r="D56" s="29"/>
      <c r="E56" s="28"/>
      <c r="F56" s="28"/>
      <c r="G56" s="28"/>
      <c r="H56" s="29"/>
      <c r="I56" s="29"/>
      <c r="J56" s="30"/>
      <c r="K56" s="74"/>
    </row>
    <row r="57" spans="1:13" x14ac:dyDescent="0.25">
      <c r="A57" s="127" t="s">
        <v>50</v>
      </c>
      <c r="B57" s="43">
        <v>3</v>
      </c>
      <c r="C57" s="44">
        <f>2921.33+807</f>
        <v>3728.33</v>
      </c>
      <c r="D57" s="29">
        <v>1260</v>
      </c>
      <c r="E57" s="28">
        <v>464</v>
      </c>
      <c r="F57" s="28">
        <f>E57/9</f>
        <v>51.555555555555557</v>
      </c>
      <c r="G57" s="28"/>
      <c r="H57" s="29">
        <f t="shared" ref="H57:H70" si="18">D57*$N$7</f>
        <v>37.799999999999997</v>
      </c>
      <c r="I57" s="29">
        <v>640</v>
      </c>
      <c r="J57" s="30">
        <f t="shared" si="13"/>
        <v>53.333333333333336</v>
      </c>
    </row>
    <row r="58" spans="1:13" x14ac:dyDescent="0.25">
      <c r="A58" s="127" t="s">
        <v>379</v>
      </c>
      <c r="B58" s="43">
        <v>3</v>
      </c>
      <c r="C58" s="44">
        <f>41613.62+589</f>
        <v>42202.62</v>
      </c>
      <c r="D58" s="29">
        <v>7460</v>
      </c>
      <c r="E58" s="28">
        <v>5338</v>
      </c>
      <c r="F58" s="28">
        <f t="shared" ref="F58:F69" si="19">E58/9</f>
        <v>593.11111111111109</v>
      </c>
      <c r="G58" s="28"/>
      <c r="H58" s="29">
        <f t="shared" si="18"/>
        <v>223.79999999999998</v>
      </c>
      <c r="I58" s="29">
        <v>7330</v>
      </c>
      <c r="J58" s="30">
        <f t="shared" si="13"/>
        <v>610.83333333333337</v>
      </c>
    </row>
    <row r="59" spans="1:13" x14ac:dyDescent="0.25">
      <c r="A59" s="127" t="s">
        <v>346</v>
      </c>
      <c r="B59" s="43">
        <v>3</v>
      </c>
      <c r="C59" s="44">
        <f>4277+63</f>
        <v>4340</v>
      </c>
      <c r="D59" s="29">
        <v>970</v>
      </c>
      <c r="E59" s="28">
        <v>625</v>
      </c>
      <c r="F59" s="28">
        <f t="shared" si="19"/>
        <v>69.444444444444443</v>
      </c>
      <c r="G59" s="28"/>
      <c r="H59" s="29">
        <f t="shared" si="18"/>
        <v>29.099999999999998</v>
      </c>
      <c r="I59" s="29">
        <v>860</v>
      </c>
      <c r="J59" s="30">
        <f t="shared" si="13"/>
        <v>71.666666666666671</v>
      </c>
    </row>
    <row r="60" spans="1:13" x14ac:dyDescent="0.25">
      <c r="A60" s="127" t="s">
        <v>53</v>
      </c>
      <c r="B60" s="43">
        <v>3</v>
      </c>
      <c r="C60" s="44">
        <f>4502.12+1207</f>
        <v>5709.12</v>
      </c>
      <c r="D60" s="29">
        <v>3550</v>
      </c>
      <c r="E60" s="28">
        <v>2271</v>
      </c>
      <c r="F60" s="28">
        <f t="shared" si="19"/>
        <v>252.33333333333334</v>
      </c>
      <c r="G60" s="28"/>
      <c r="H60" s="29">
        <f t="shared" si="18"/>
        <v>106.5</v>
      </c>
      <c r="I60" s="29">
        <v>3180</v>
      </c>
      <c r="J60" s="30">
        <f t="shared" si="13"/>
        <v>265</v>
      </c>
      <c r="K60" s="74" t="s">
        <v>533</v>
      </c>
    </row>
    <row r="61" spans="1:13" hidden="1" x14ac:dyDescent="0.25">
      <c r="A61" s="127" t="s">
        <v>243</v>
      </c>
      <c r="B61" s="43">
        <v>3</v>
      </c>
      <c r="C61" s="44">
        <f>160.09+713</f>
        <v>873.09</v>
      </c>
      <c r="D61" s="29">
        <v>0</v>
      </c>
      <c r="E61" s="28">
        <f t="shared" ref="E61:E96" si="20">D61/12</f>
        <v>0</v>
      </c>
      <c r="F61" s="28">
        <f t="shared" si="19"/>
        <v>0</v>
      </c>
      <c r="G61" s="28"/>
      <c r="H61" s="29">
        <f t="shared" si="18"/>
        <v>0</v>
      </c>
      <c r="I61" s="29">
        <v>0</v>
      </c>
      <c r="J61" s="30">
        <f t="shared" si="13"/>
        <v>0</v>
      </c>
    </row>
    <row r="62" spans="1:13" x14ac:dyDescent="0.25">
      <c r="A62" s="127" t="s">
        <v>311</v>
      </c>
      <c r="B62" s="43">
        <v>3</v>
      </c>
      <c r="C62" s="44">
        <f>18486.48+2777</f>
        <v>21263.48</v>
      </c>
      <c r="D62" s="29">
        <f>350+11850</f>
        <v>12200</v>
      </c>
      <c r="E62" s="28">
        <f>9705+119.96</f>
        <v>9824.9599999999991</v>
      </c>
      <c r="F62" s="28">
        <f t="shared" si="19"/>
        <v>1091.6622222222222</v>
      </c>
      <c r="G62" s="28"/>
      <c r="H62" s="29">
        <f t="shared" si="18"/>
        <v>366</v>
      </c>
      <c r="I62" s="29">
        <v>13490</v>
      </c>
      <c r="J62" s="30">
        <f t="shared" si="13"/>
        <v>1124.1666666666667</v>
      </c>
      <c r="K62" s="74" t="s">
        <v>552</v>
      </c>
    </row>
    <row r="63" spans="1:13" x14ac:dyDescent="0.25">
      <c r="A63" s="127" t="s">
        <v>257</v>
      </c>
      <c r="B63" s="43">
        <v>3</v>
      </c>
      <c r="C63" s="44">
        <f>56966.48-5005</f>
        <v>51961.48</v>
      </c>
      <c r="D63" s="29">
        <v>4400</v>
      </c>
      <c r="E63" s="28">
        <v>6956</v>
      </c>
      <c r="F63" s="28">
        <f t="shared" si="19"/>
        <v>772.88888888888891</v>
      </c>
      <c r="G63" s="28"/>
      <c r="H63" s="29">
        <f t="shared" si="18"/>
        <v>132</v>
      </c>
      <c r="I63" s="29">
        <v>13450</v>
      </c>
      <c r="J63" s="30">
        <f t="shared" si="13"/>
        <v>1120.8333333333333</v>
      </c>
      <c r="K63" s="74" t="s">
        <v>547</v>
      </c>
    </row>
    <row r="64" spans="1:13" x14ac:dyDescent="0.25">
      <c r="A64" s="127" t="s">
        <v>55</v>
      </c>
      <c r="B64" s="43">
        <v>3</v>
      </c>
      <c r="C64" s="44">
        <f>136422.19-26033</f>
        <v>110389.19</v>
      </c>
      <c r="D64" s="29">
        <v>8200</v>
      </c>
      <c r="E64" s="28">
        <v>23057</v>
      </c>
      <c r="F64" s="28">
        <f t="shared" si="19"/>
        <v>2561.8888888888887</v>
      </c>
      <c r="G64" s="28"/>
      <c r="H64" s="29">
        <f t="shared" si="18"/>
        <v>246</v>
      </c>
      <c r="I64" s="29">
        <v>31660</v>
      </c>
      <c r="J64" s="30">
        <f t="shared" si="13"/>
        <v>2638.3333333333335</v>
      </c>
      <c r="K64" s="75" t="s">
        <v>557</v>
      </c>
    </row>
    <row r="65" spans="1:13" x14ac:dyDescent="0.25">
      <c r="A65" s="127" t="s">
        <v>228</v>
      </c>
      <c r="B65" s="43">
        <v>3</v>
      </c>
      <c r="C65" s="44">
        <f>7778.41+6203</f>
        <v>13981.41</v>
      </c>
      <c r="D65" s="29">
        <v>0</v>
      </c>
      <c r="E65" s="28">
        <v>1995</v>
      </c>
      <c r="F65" s="28">
        <f t="shared" si="19"/>
        <v>221.66666666666666</v>
      </c>
      <c r="G65" s="28"/>
      <c r="H65" s="29">
        <v>0</v>
      </c>
      <c r="I65" s="29">
        <v>2739.8</v>
      </c>
      <c r="J65" s="30">
        <f t="shared" si="13"/>
        <v>228.31666666666669</v>
      </c>
      <c r="K65" s="74"/>
    </row>
    <row r="66" spans="1:13" x14ac:dyDescent="0.25">
      <c r="A66" s="127" t="s">
        <v>526</v>
      </c>
      <c r="B66" s="43"/>
      <c r="C66" s="44"/>
      <c r="D66" s="29">
        <v>0</v>
      </c>
      <c r="E66" s="28">
        <v>0</v>
      </c>
      <c r="F66" s="28">
        <f t="shared" si="19"/>
        <v>0</v>
      </c>
      <c r="G66" s="28"/>
      <c r="H66" s="29"/>
      <c r="I66" s="29">
        <v>1200</v>
      </c>
      <c r="J66" s="30">
        <f t="shared" si="13"/>
        <v>100</v>
      </c>
      <c r="K66" s="74" t="s">
        <v>551</v>
      </c>
    </row>
    <row r="67" spans="1:13" x14ac:dyDescent="0.25">
      <c r="A67" s="127" t="s">
        <v>527</v>
      </c>
      <c r="B67" s="43"/>
      <c r="C67" s="44"/>
      <c r="D67" s="29">
        <v>0</v>
      </c>
      <c r="E67" s="28">
        <v>0</v>
      </c>
      <c r="F67" s="28">
        <f t="shared" si="19"/>
        <v>0</v>
      </c>
      <c r="G67" s="28"/>
      <c r="H67" s="29"/>
      <c r="I67" s="29">
        <v>4450</v>
      </c>
      <c r="J67" s="30">
        <f t="shared" si="13"/>
        <v>370.83333333333331</v>
      </c>
      <c r="K67" s="74" t="s">
        <v>536</v>
      </c>
    </row>
    <row r="68" spans="1:13" x14ac:dyDescent="0.25">
      <c r="A68" s="127" t="s">
        <v>349</v>
      </c>
      <c r="B68" s="43">
        <v>3</v>
      </c>
      <c r="C68" s="44">
        <f>16043.56+1199</f>
        <v>17242.559999999998</v>
      </c>
      <c r="D68" s="29">
        <v>7270</v>
      </c>
      <c r="E68" s="28">
        <v>3581</v>
      </c>
      <c r="F68" s="28">
        <f t="shared" si="19"/>
        <v>397.88888888888891</v>
      </c>
      <c r="G68" s="28"/>
      <c r="H68" s="29">
        <f t="shared" si="18"/>
        <v>218.1</v>
      </c>
      <c r="I68" s="29">
        <v>4970</v>
      </c>
      <c r="J68" s="30">
        <f t="shared" si="13"/>
        <v>414.16666666666669</v>
      </c>
      <c r="K68" s="74" t="s">
        <v>534</v>
      </c>
    </row>
    <row r="69" spans="1:13" x14ac:dyDescent="0.25">
      <c r="A69" s="127" t="s">
        <v>57</v>
      </c>
      <c r="B69" s="43">
        <v>3</v>
      </c>
      <c r="C69" s="44">
        <f>10970.98-3107</f>
        <v>7863.98</v>
      </c>
      <c r="D69" s="29">
        <v>13760</v>
      </c>
      <c r="E69" s="28">
        <v>8765</v>
      </c>
      <c r="F69" s="28">
        <f t="shared" si="19"/>
        <v>973.88888888888891</v>
      </c>
      <c r="G69" s="28"/>
      <c r="H69" s="29">
        <f t="shared" si="18"/>
        <v>412.8</v>
      </c>
      <c r="I69" s="29">
        <v>12040</v>
      </c>
      <c r="J69" s="30">
        <f t="shared" si="13"/>
        <v>1003.3333333333334</v>
      </c>
    </row>
    <row r="70" spans="1:13" x14ac:dyDescent="0.25">
      <c r="A70" s="127" t="s">
        <v>56</v>
      </c>
      <c r="B70" s="43">
        <v>3</v>
      </c>
      <c r="C70" s="49">
        <v>203</v>
      </c>
      <c r="D70" s="67">
        <v>11410</v>
      </c>
      <c r="E70" s="56">
        <v>0</v>
      </c>
      <c r="F70" s="56">
        <f>E70/9</f>
        <v>0</v>
      </c>
      <c r="G70" s="56"/>
      <c r="H70" s="67">
        <f t="shared" si="18"/>
        <v>342.3</v>
      </c>
      <c r="I70" s="67">
        <v>18500</v>
      </c>
      <c r="J70" s="68">
        <f t="shared" si="13"/>
        <v>1541.6666666666667</v>
      </c>
      <c r="K70" s="74" t="s">
        <v>544</v>
      </c>
    </row>
    <row r="71" spans="1:13" x14ac:dyDescent="0.25">
      <c r="A71" s="128" t="s">
        <v>91</v>
      </c>
      <c r="B71" s="43"/>
      <c r="C71" s="28">
        <f>SUM(C57:C70)</f>
        <v>279758.26</v>
      </c>
      <c r="D71" s="28">
        <f>SUM(D57:D70)</f>
        <v>70480</v>
      </c>
      <c r="E71" s="28">
        <f>SUM(E57:E70)</f>
        <v>62876.959999999999</v>
      </c>
      <c r="F71" s="28">
        <f>SUM(F57:F70)</f>
        <v>6986.3288888888883</v>
      </c>
      <c r="G71" s="28"/>
      <c r="H71" s="29">
        <f>SUM(H57:H70)</f>
        <v>2114.4</v>
      </c>
      <c r="I71" s="29">
        <f>SUM(I57:I70)</f>
        <v>114509.8</v>
      </c>
      <c r="J71" s="30">
        <f t="shared" si="13"/>
        <v>9542.4833333333336</v>
      </c>
    </row>
    <row r="72" spans="1:13" ht="9" customHeight="1" x14ac:dyDescent="0.25">
      <c r="A72" s="127"/>
      <c r="B72" s="43"/>
      <c r="C72" s="28"/>
      <c r="D72" s="28"/>
      <c r="E72" s="28"/>
      <c r="F72" s="28"/>
      <c r="G72" s="28"/>
      <c r="H72" s="29"/>
      <c r="I72" s="29"/>
      <c r="J72" s="30"/>
    </row>
    <row r="73" spans="1:13" x14ac:dyDescent="0.25">
      <c r="A73" s="128" t="s">
        <v>457</v>
      </c>
      <c r="B73" s="43"/>
      <c r="C73" s="28"/>
      <c r="D73" s="28"/>
      <c r="E73" s="28"/>
      <c r="F73" s="28"/>
      <c r="G73" s="28"/>
      <c r="H73" s="29"/>
      <c r="I73" s="29"/>
      <c r="J73" s="30"/>
    </row>
    <row r="74" spans="1:13" x14ac:dyDescent="0.25">
      <c r="A74" s="127" t="s">
        <v>42</v>
      </c>
      <c r="B74" s="43">
        <v>3</v>
      </c>
      <c r="C74" s="44">
        <f>17857.13-495</f>
        <v>17362.13</v>
      </c>
      <c r="D74" s="29">
        <v>4000</v>
      </c>
      <c r="E74" s="28">
        <v>1957.34</v>
      </c>
      <c r="F74" s="28">
        <f>E74/9</f>
        <v>217.48222222222222</v>
      </c>
      <c r="G74" s="28"/>
      <c r="H74" s="29">
        <f>D74*$M$74</f>
        <v>306</v>
      </c>
      <c r="I74" s="29">
        <v>4320</v>
      </c>
      <c r="J74" s="30">
        <f t="shared" ref="J74:J78" si="21">I74/12</f>
        <v>360</v>
      </c>
      <c r="K74" s="74" t="s">
        <v>427</v>
      </c>
      <c r="M74" s="27">
        <v>7.6499999999999999E-2</v>
      </c>
    </row>
    <row r="75" spans="1:13" x14ac:dyDescent="0.25">
      <c r="A75" s="127" t="s">
        <v>324</v>
      </c>
      <c r="B75" s="43">
        <v>3</v>
      </c>
      <c r="C75" s="44">
        <f>21162.07+4067</f>
        <v>25229.07</v>
      </c>
      <c r="D75" s="29">
        <v>17590</v>
      </c>
      <c r="E75" s="28">
        <v>16183</v>
      </c>
      <c r="F75" s="28">
        <f t="shared" ref="F75:F80" si="22">E75/9</f>
        <v>1798.1111111111111</v>
      </c>
      <c r="G75" s="28"/>
      <c r="H75" s="29">
        <f>D75*$M$75</f>
        <v>879.5</v>
      </c>
      <c r="I75" s="29">
        <v>22220</v>
      </c>
      <c r="J75" s="30">
        <f t="shared" si="21"/>
        <v>1851.6666666666667</v>
      </c>
      <c r="K75" s="74" t="s">
        <v>537</v>
      </c>
      <c r="M75" s="26">
        <v>0.05</v>
      </c>
    </row>
    <row r="76" spans="1:13" x14ac:dyDescent="0.25">
      <c r="A76" s="127" t="s">
        <v>59</v>
      </c>
      <c r="B76" s="43">
        <v>3</v>
      </c>
      <c r="C76" s="44">
        <f>66785.16-8677</f>
        <v>58108.160000000003</v>
      </c>
      <c r="D76" s="29">
        <v>4260</v>
      </c>
      <c r="E76" s="28">
        <v>5879</v>
      </c>
      <c r="F76" s="28">
        <f t="shared" si="22"/>
        <v>653.22222222222217</v>
      </c>
      <c r="G76" s="28"/>
      <c r="H76" s="29">
        <f>D76*$M$76</f>
        <v>1278</v>
      </c>
      <c r="I76" s="29">
        <v>16950</v>
      </c>
      <c r="J76" s="30">
        <f t="shared" si="21"/>
        <v>1412.5</v>
      </c>
      <c r="K76" s="74" t="s">
        <v>535</v>
      </c>
      <c r="M76" s="26">
        <v>0.3</v>
      </c>
    </row>
    <row r="77" spans="1:13" x14ac:dyDescent="0.25">
      <c r="A77" s="127" t="s">
        <v>293</v>
      </c>
      <c r="B77" s="43">
        <v>3</v>
      </c>
      <c r="C77" s="44">
        <f>2231.4+909</f>
        <v>3140.4</v>
      </c>
      <c r="D77" s="29">
        <v>900</v>
      </c>
      <c r="E77" s="28">
        <v>723</v>
      </c>
      <c r="F77" s="28">
        <f t="shared" si="22"/>
        <v>80.333333333333329</v>
      </c>
      <c r="G77" s="28"/>
      <c r="H77" s="29">
        <f>D77*$M$50</f>
        <v>63.000000000000007</v>
      </c>
      <c r="I77" s="29">
        <v>1700</v>
      </c>
      <c r="J77" s="30">
        <f t="shared" si="21"/>
        <v>141.66666666666666</v>
      </c>
      <c r="K77" s="74" t="s">
        <v>538</v>
      </c>
    </row>
    <row r="78" spans="1:13" x14ac:dyDescent="0.25">
      <c r="A78" s="127" t="s">
        <v>61</v>
      </c>
      <c r="B78" s="43">
        <v>3</v>
      </c>
      <c r="C78" s="28">
        <f>27130.12-1061</f>
        <v>26069.119999999999</v>
      </c>
      <c r="D78" s="29">
        <v>350</v>
      </c>
      <c r="E78" s="28">
        <v>0</v>
      </c>
      <c r="F78" s="28">
        <f t="shared" si="22"/>
        <v>0</v>
      </c>
      <c r="G78" s="28"/>
      <c r="H78" s="29" t="e">
        <f>D78*#REF!</f>
        <v>#REF!</v>
      </c>
      <c r="I78" s="29">
        <v>250</v>
      </c>
      <c r="J78" s="30">
        <f t="shared" si="21"/>
        <v>20.833333333333332</v>
      </c>
    </row>
    <row r="79" spans="1:13" x14ac:dyDescent="0.25">
      <c r="A79" s="127" t="s">
        <v>352</v>
      </c>
      <c r="B79" s="43">
        <v>3</v>
      </c>
      <c r="C79" s="44">
        <f>220.09+13</f>
        <v>233.09</v>
      </c>
      <c r="D79" s="29">
        <v>0</v>
      </c>
      <c r="E79" s="28">
        <v>30</v>
      </c>
      <c r="F79" s="28">
        <f t="shared" si="22"/>
        <v>3.3333333333333335</v>
      </c>
      <c r="G79" s="28"/>
      <c r="H79" s="29">
        <f>D79*$N$7</f>
        <v>0</v>
      </c>
      <c r="I79" s="29">
        <v>40</v>
      </c>
      <c r="J79" s="30">
        <f t="shared" si="13"/>
        <v>3.3333333333333335</v>
      </c>
      <c r="K79" s="74" t="s">
        <v>353</v>
      </c>
    </row>
    <row r="80" spans="1:13" x14ac:dyDescent="0.25">
      <c r="A80" s="127" t="s">
        <v>461</v>
      </c>
      <c r="B80" s="43">
        <v>3</v>
      </c>
      <c r="C80" s="44">
        <f>28668.48+32612</f>
        <v>61280.479999999996</v>
      </c>
      <c r="D80" s="29">
        <v>48000</v>
      </c>
      <c r="E80" s="28">
        <v>30366</v>
      </c>
      <c r="F80" s="28">
        <f t="shared" si="22"/>
        <v>3374</v>
      </c>
      <c r="G80" s="28"/>
      <c r="H80" s="29">
        <f>D80*$N$7</f>
        <v>1440</v>
      </c>
      <c r="I80" s="29">
        <v>48000</v>
      </c>
      <c r="J80" s="30">
        <f t="shared" si="13"/>
        <v>4000</v>
      </c>
      <c r="K80" s="74" t="s">
        <v>548</v>
      </c>
    </row>
    <row r="81" spans="1:12" x14ac:dyDescent="0.25">
      <c r="A81" s="127" t="s">
        <v>62</v>
      </c>
      <c r="B81" s="43">
        <v>3</v>
      </c>
      <c r="C81" s="49">
        <v>139481.24</v>
      </c>
      <c r="D81" s="67">
        <v>271960</v>
      </c>
      <c r="E81" s="56">
        <v>204776</v>
      </c>
      <c r="F81" s="56">
        <f>E81/9</f>
        <v>22752.888888888891</v>
      </c>
      <c r="G81" s="56"/>
      <c r="H81" s="67">
        <v>0</v>
      </c>
      <c r="I81" s="67">
        <v>273310</v>
      </c>
      <c r="J81" s="68">
        <f t="shared" si="13"/>
        <v>22775.833333333332</v>
      </c>
      <c r="K81" s="74" t="s">
        <v>262</v>
      </c>
    </row>
    <row r="82" spans="1:12" x14ac:dyDescent="0.25">
      <c r="A82" s="128" t="s">
        <v>92</v>
      </c>
      <c r="B82" s="43"/>
      <c r="C82" s="28">
        <f t="shared" ref="C82:J82" si="23">SUM(C74:C81)</f>
        <v>330903.68999999994</v>
      </c>
      <c r="D82" s="28">
        <f t="shared" si="23"/>
        <v>347060</v>
      </c>
      <c r="E82" s="28">
        <f t="shared" si="23"/>
        <v>259914.34</v>
      </c>
      <c r="F82" s="28">
        <f>SUM(F74:F81)</f>
        <v>28879.371111111112</v>
      </c>
      <c r="G82" s="28"/>
      <c r="H82" s="29" t="e">
        <f t="shared" si="23"/>
        <v>#REF!</v>
      </c>
      <c r="I82" s="29">
        <f t="shared" si="23"/>
        <v>366790</v>
      </c>
      <c r="J82" s="30">
        <f t="shared" si="23"/>
        <v>30565.833333333332</v>
      </c>
      <c r="K82" s="69"/>
    </row>
    <row r="83" spans="1:12" ht="7.5" customHeight="1" x14ac:dyDescent="0.25">
      <c r="A83" s="127"/>
      <c r="B83" s="43"/>
      <c r="C83" s="28"/>
      <c r="D83" s="28"/>
      <c r="E83" s="28"/>
      <c r="F83" s="28"/>
      <c r="G83" s="28"/>
      <c r="H83" s="29"/>
      <c r="I83" s="29"/>
      <c r="J83" s="30"/>
      <c r="K83" s="69"/>
    </row>
    <row r="84" spans="1:12" x14ac:dyDescent="0.25">
      <c r="A84" s="128" t="s">
        <v>459</v>
      </c>
      <c r="B84" s="43"/>
      <c r="C84" s="28"/>
      <c r="D84" s="28"/>
      <c r="E84" s="28"/>
      <c r="F84" s="28"/>
      <c r="G84" s="28"/>
      <c r="H84" s="29"/>
      <c r="I84" s="29"/>
      <c r="J84" s="30"/>
      <c r="K84" s="69"/>
    </row>
    <row r="85" spans="1:12" x14ac:dyDescent="0.25">
      <c r="A85" s="127" t="s">
        <v>313</v>
      </c>
      <c r="B85" s="43">
        <v>3</v>
      </c>
      <c r="C85" s="44">
        <v>174358.63</v>
      </c>
      <c r="D85" s="29">
        <v>23441</v>
      </c>
      <c r="E85" s="28">
        <v>19706</v>
      </c>
      <c r="F85" s="28">
        <f>E85/9</f>
        <v>2189.5555555555557</v>
      </c>
      <c r="G85" s="28"/>
      <c r="H85" s="29">
        <v>0</v>
      </c>
      <c r="I85" s="29">
        <v>23400</v>
      </c>
      <c r="J85" s="30">
        <f>I85/12</f>
        <v>1950</v>
      </c>
      <c r="K85" s="74" t="s">
        <v>549</v>
      </c>
    </row>
    <row r="86" spans="1:12" x14ac:dyDescent="0.25">
      <c r="A86" s="127" t="s">
        <v>295</v>
      </c>
      <c r="B86" s="43">
        <v>3</v>
      </c>
      <c r="C86" s="49">
        <v>277977.89</v>
      </c>
      <c r="D86" s="67">
        <v>101416</v>
      </c>
      <c r="E86" s="56">
        <f>46090+51956</f>
        <v>98046</v>
      </c>
      <c r="F86" s="56">
        <f>E86/9</f>
        <v>10894</v>
      </c>
      <c r="G86" s="56"/>
      <c r="H86" s="67">
        <v>0</v>
      </c>
      <c r="I86" s="67">
        <v>0</v>
      </c>
      <c r="J86" s="68">
        <f>I86/12</f>
        <v>0</v>
      </c>
      <c r="K86" s="74" t="s">
        <v>550</v>
      </c>
    </row>
    <row r="87" spans="1:12" x14ac:dyDescent="0.25">
      <c r="A87" s="128" t="s">
        <v>314</v>
      </c>
      <c r="B87" s="43"/>
      <c r="C87" s="28">
        <f>SUM(C83:C86)</f>
        <v>452336.52</v>
      </c>
      <c r="D87" s="28">
        <f t="shared" ref="D87:J87" si="24">SUM(D83:D86)</f>
        <v>124857</v>
      </c>
      <c r="E87" s="28">
        <f t="shared" si="24"/>
        <v>117752</v>
      </c>
      <c r="F87" s="28">
        <f>SUM(F85:F86)</f>
        <v>13083.555555555555</v>
      </c>
      <c r="G87" s="28"/>
      <c r="H87" s="29">
        <f t="shared" si="24"/>
        <v>0</v>
      </c>
      <c r="I87" s="29">
        <f t="shared" si="24"/>
        <v>23400</v>
      </c>
      <c r="J87" s="30">
        <f t="shared" si="24"/>
        <v>1950</v>
      </c>
      <c r="K87" s="74"/>
    </row>
    <row r="88" spans="1:12" ht="7.5" customHeight="1" x14ac:dyDescent="0.25">
      <c r="A88" s="127"/>
      <c r="B88" s="43"/>
      <c r="C88" s="44"/>
      <c r="D88" s="44"/>
      <c r="E88" s="44"/>
      <c r="F88" s="44"/>
      <c r="G88" s="44"/>
      <c r="H88" s="29"/>
      <c r="I88" s="29"/>
      <c r="J88" s="30"/>
      <c r="K88" s="69"/>
    </row>
    <row r="89" spans="1:12" x14ac:dyDescent="0.25">
      <c r="A89" s="128" t="s">
        <v>84</v>
      </c>
      <c r="B89" s="43"/>
      <c r="C89" s="44"/>
      <c r="D89" s="44"/>
      <c r="E89" s="44"/>
      <c r="F89" s="44"/>
      <c r="G89" s="44"/>
      <c r="H89" s="29"/>
      <c r="I89" s="29"/>
      <c r="J89" s="30"/>
      <c r="K89" s="69"/>
    </row>
    <row r="90" spans="1:12" x14ac:dyDescent="0.25">
      <c r="A90" s="127" t="s">
        <v>63</v>
      </c>
      <c r="B90" s="43">
        <v>3</v>
      </c>
      <c r="C90" s="49">
        <v>35806.879999999997</v>
      </c>
      <c r="D90" s="50">
        <v>13660</v>
      </c>
      <c r="E90" s="56">
        <v>9945</v>
      </c>
      <c r="F90" s="56">
        <f>E90/9</f>
        <v>1105</v>
      </c>
      <c r="G90" s="56"/>
      <c r="H90" s="67">
        <v>0</v>
      </c>
      <c r="I90" s="67">
        <v>14070</v>
      </c>
      <c r="J90" s="68">
        <f t="shared" si="13"/>
        <v>1172.5</v>
      </c>
      <c r="K90" s="69" t="s">
        <v>505</v>
      </c>
      <c r="L90" s="31">
        <f>SUM(D90)*1.03</f>
        <v>14069.800000000001</v>
      </c>
    </row>
    <row r="91" spans="1:12" x14ac:dyDescent="0.25">
      <c r="A91" s="128" t="s">
        <v>93</v>
      </c>
      <c r="B91" s="43"/>
      <c r="C91" s="28">
        <f>SUM(C88:C90)</f>
        <v>35806.879999999997</v>
      </c>
      <c r="D91" s="28">
        <f t="shared" ref="D91:J91" si="25">SUM(D88:D90)</f>
        <v>13660</v>
      </c>
      <c r="E91" s="28">
        <f t="shared" si="25"/>
        <v>9945</v>
      </c>
      <c r="F91" s="28">
        <f>SUM(F90)</f>
        <v>1105</v>
      </c>
      <c r="G91" s="28"/>
      <c r="H91" s="29">
        <f t="shared" si="25"/>
        <v>0</v>
      </c>
      <c r="I91" s="29">
        <f t="shared" si="25"/>
        <v>14070</v>
      </c>
      <c r="J91" s="30">
        <f t="shared" si="25"/>
        <v>1172.5</v>
      </c>
      <c r="K91" s="74"/>
    </row>
    <row r="92" spans="1:12" ht="8.25" customHeight="1" x14ac:dyDescent="0.25">
      <c r="A92" s="128"/>
      <c r="B92" s="43"/>
      <c r="C92" s="28"/>
      <c r="D92" s="28"/>
      <c r="E92" s="28"/>
      <c r="F92" s="28"/>
      <c r="G92" s="28"/>
      <c r="H92" s="29"/>
      <c r="I92" s="29"/>
      <c r="J92" s="30"/>
      <c r="K92" s="69"/>
    </row>
    <row r="93" spans="1:12" hidden="1" x14ac:dyDescent="0.25">
      <c r="A93" s="127" t="s">
        <v>380</v>
      </c>
      <c r="B93" s="43">
        <v>3</v>
      </c>
      <c r="C93" s="44">
        <v>0</v>
      </c>
      <c r="D93" s="44">
        <f>C93/3</f>
        <v>0</v>
      </c>
      <c r="E93" s="44">
        <f t="shared" si="20"/>
        <v>0</v>
      </c>
      <c r="F93" s="44">
        <f t="shared" ref="F93:F96" si="26">E93/9</f>
        <v>0</v>
      </c>
      <c r="G93" s="44"/>
      <c r="H93" s="29">
        <f>D93*$N$7</f>
        <v>0</v>
      </c>
      <c r="I93" s="29">
        <f t="shared" ref="I93:I96" si="27">D93+H93</f>
        <v>0</v>
      </c>
      <c r="J93" s="30">
        <f t="shared" si="13"/>
        <v>0</v>
      </c>
      <c r="K93" s="74"/>
    </row>
    <row r="94" spans="1:12" hidden="1" x14ac:dyDescent="0.25">
      <c r="A94" s="127" t="s">
        <v>381</v>
      </c>
      <c r="B94" s="43">
        <v>3</v>
      </c>
      <c r="C94" s="44">
        <v>0</v>
      </c>
      <c r="D94" s="44">
        <f>C94/3</f>
        <v>0</v>
      </c>
      <c r="E94" s="44">
        <f t="shared" si="20"/>
        <v>0</v>
      </c>
      <c r="F94" s="44">
        <f t="shared" si="26"/>
        <v>0</v>
      </c>
      <c r="G94" s="44"/>
      <c r="H94" s="29">
        <f>D94*$N$7</f>
        <v>0</v>
      </c>
      <c r="I94" s="29">
        <f t="shared" si="27"/>
        <v>0</v>
      </c>
      <c r="J94" s="30">
        <f t="shared" si="13"/>
        <v>0</v>
      </c>
      <c r="K94" s="69"/>
    </row>
    <row r="95" spans="1:12" hidden="1" x14ac:dyDescent="0.25">
      <c r="A95" s="127" t="s">
        <v>382</v>
      </c>
      <c r="B95" s="43">
        <v>3</v>
      </c>
      <c r="C95" s="44">
        <v>0</v>
      </c>
      <c r="D95" s="45">
        <f>C95/3</f>
        <v>0</v>
      </c>
      <c r="E95" s="28">
        <f t="shared" si="20"/>
        <v>0</v>
      </c>
      <c r="F95" s="28">
        <f t="shared" si="26"/>
        <v>0</v>
      </c>
      <c r="G95" s="28"/>
      <c r="H95" s="29">
        <f>D95*$N$7</f>
        <v>0</v>
      </c>
      <c r="I95" s="29">
        <f t="shared" si="27"/>
        <v>0</v>
      </c>
      <c r="J95" s="30">
        <f t="shared" si="13"/>
        <v>0</v>
      </c>
      <c r="K95" s="74"/>
    </row>
    <row r="96" spans="1:12" hidden="1" x14ac:dyDescent="0.25">
      <c r="A96" s="127" t="s">
        <v>383</v>
      </c>
      <c r="B96" s="43">
        <v>3</v>
      </c>
      <c r="C96" s="44">
        <v>0</v>
      </c>
      <c r="D96" s="45">
        <f>C96/3</f>
        <v>0</v>
      </c>
      <c r="E96" s="28">
        <f t="shared" si="20"/>
        <v>0</v>
      </c>
      <c r="F96" s="28">
        <f t="shared" si="26"/>
        <v>0</v>
      </c>
      <c r="G96" s="28"/>
      <c r="H96" s="29">
        <f>D96*$N$7</f>
        <v>0</v>
      </c>
      <c r="I96" s="29">
        <f t="shared" si="27"/>
        <v>0</v>
      </c>
      <c r="J96" s="30">
        <f t="shared" ref="J96:J103" si="28">I96/12</f>
        <v>0</v>
      </c>
      <c r="K96" s="69"/>
    </row>
    <row r="97" spans="1:11" x14ac:dyDescent="0.25">
      <c r="A97" s="128" t="s">
        <v>458</v>
      </c>
      <c r="B97" s="43"/>
      <c r="C97" s="44"/>
      <c r="D97" s="45"/>
      <c r="E97" s="28"/>
      <c r="F97" s="28"/>
      <c r="G97" s="28"/>
      <c r="H97" s="29"/>
      <c r="I97" s="29"/>
      <c r="J97" s="30"/>
      <c r="K97" s="69"/>
    </row>
    <row r="98" spans="1:11" x14ac:dyDescent="0.25">
      <c r="A98" s="127" t="s">
        <v>265</v>
      </c>
      <c r="B98" s="43">
        <v>3</v>
      </c>
      <c r="C98" s="44">
        <v>17108</v>
      </c>
      <c r="D98" s="45">
        <v>0</v>
      </c>
      <c r="E98" s="28">
        <v>0</v>
      </c>
      <c r="F98" s="28">
        <f>E98/9</f>
        <v>0</v>
      </c>
      <c r="G98" s="28"/>
      <c r="H98" s="29">
        <v>0</v>
      </c>
      <c r="I98" s="29">
        <v>1600</v>
      </c>
      <c r="J98" s="30">
        <f t="shared" si="28"/>
        <v>133.33333333333334</v>
      </c>
      <c r="K98" s="74" t="s">
        <v>540</v>
      </c>
    </row>
    <row r="99" spans="1:11" x14ac:dyDescent="0.25">
      <c r="A99" s="127" t="s">
        <v>358</v>
      </c>
      <c r="B99" s="43">
        <v>3</v>
      </c>
      <c r="C99" s="44">
        <v>11472</v>
      </c>
      <c r="D99" s="45">
        <v>0</v>
      </c>
      <c r="E99" s="28">
        <v>3795</v>
      </c>
      <c r="F99" s="28">
        <f t="shared" ref="F99:F102" si="29">E99/9</f>
        <v>421.66666666666669</v>
      </c>
      <c r="G99" s="28"/>
      <c r="H99" s="29">
        <v>0</v>
      </c>
      <c r="I99" s="29">
        <f>4000+6000</f>
        <v>10000</v>
      </c>
      <c r="J99" s="30">
        <f t="shared" si="28"/>
        <v>833.33333333333337</v>
      </c>
      <c r="K99" s="74" t="s">
        <v>545</v>
      </c>
    </row>
    <row r="100" spans="1:11" x14ac:dyDescent="0.25">
      <c r="A100" s="127" t="s">
        <v>359</v>
      </c>
      <c r="B100" s="43">
        <v>3</v>
      </c>
      <c r="C100" s="44">
        <v>9276.7099999999991</v>
      </c>
      <c r="D100" s="45">
        <v>8000</v>
      </c>
      <c r="E100" s="28">
        <v>3186</v>
      </c>
      <c r="F100" s="28">
        <f t="shared" si="29"/>
        <v>354</v>
      </c>
      <c r="G100" s="28"/>
      <c r="H100" s="29">
        <v>0</v>
      </c>
      <c r="I100" s="29">
        <v>0</v>
      </c>
      <c r="J100" s="30">
        <f t="shared" si="28"/>
        <v>0</v>
      </c>
    </row>
    <row r="101" spans="1:11" hidden="1" x14ac:dyDescent="0.25">
      <c r="A101" s="127" t="s">
        <v>64</v>
      </c>
      <c r="B101" s="43">
        <v>3</v>
      </c>
      <c r="C101" s="44">
        <v>2466.65</v>
      </c>
      <c r="D101" s="45">
        <v>0</v>
      </c>
      <c r="E101" s="28">
        <f t="shared" ref="E101" si="30">D101/12</f>
        <v>0</v>
      </c>
      <c r="F101" s="28">
        <f t="shared" si="29"/>
        <v>0</v>
      </c>
      <c r="G101" s="28"/>
      <c r="H101" s="29">
        <f>D101*$N$7</f>
        <v>0</v>
      </c>
      <c r="I101" s="29">
        <v>0</v>
      </c>
      <c r="J101" s="30">
        <f t="shared" si="28"/>
        <v>0</v>
      </c>
      <c r="K101" s="74"/>
    </row>
    <row r="102" spans="1:11" x14ac:dyDescent="0.25">
      <c r="A102" s="127" t="s">
        <v>26</v>
      </c>
      <c r="B102" s="43">
        <v>3</v>
      </c>
      <c r="C102" s="44">
        <v>14856.41</v>
      </c>
      <c r="D102" s="45">
        <v>700</v>
      </c>
      <c r="E102" s="28">
        <v>1422</v>
      </c>
      <c r="F102" s="28">
        <f t="shared" si="29"/>
        <v>158</v>
      </c>
      <c r="G102" s="28"/>
      <c r="H102" s="29">
        <f>D102*$N$7</f>
        <v>21</v>
      </c>
      <c r="I102" s="29">
        <v>0</v>
      </c>
      <c r="J102" s="30">
        <f t="shared" si="28"/>
        <v>0</v>
      </c>
      <c r="K102" s="74"/>
    </row>
    <row r="103" spans="1:11" x14ac:dyDescent="0.25">
      <c r="A103" s="127" t="s">
        <v>65</v>
      </c>
      <c r="B103" s="43">
        <v>3</v>
      </c>
      <c r="C103" s="49">
        <v>1167.5</v>
      </c>
      <c r="D103" s="50">
        <v>0</v>
      </c>
      <c r="E103" s="56">
        <v>0</v>
      </c>
      <c r="F103" s="56">
        <f>E103/9</f>
        <v>0</v>
      </c>
      <c r="G103" s="56"/>
      <c r="H103" s="67">
        <v>0</v>
      </c>
      <c r="I103" s="67">
        <f>1200+300+1500</f>
        <v>3000</v>
      </c>
      <c r="J103" s="68">
        <f t="shared" si="28"/>
        <v>250</v>
      </c>
      <c r="K103" s="74" t="s">
        <v>539</v>
      </c>
    </row>
    <row r="104" spans="1:11" ht="15.75" thickBot="1" x14ac:dyDescent="0.3">
      <c r="A104" s="130" t="s">
        <v>320</v>
      </c>
      <c r="B104" s="131"/>
      <c r="C104" s="132">
        <f>SUM(C95:C103)</f>
        <v>56347.270000000004</v>
      </c>
      <c r="D104" s="132">
        <f t="shared" ref="D104:E104" si="31">SUM(D95:D103)</f>
        <v>8700</v>
      </c>
      <c r="E104" s="132">
        <f t="shared" si="31"/>
        <v>8403</v>
      </c>
      <c r="F104" s="132">
        <f>SUM(F92:F103)</f>
        <v>933.66666666666674</v>
      </c>
      <c r="G104" s="132"/>
      <c r="H104" s="70">
        <f>SUM(H95:H103)</f>
        <v>21</v>
      </c>
      <c r="I104" s="71">
        <f>SUM(I95:I103)</f>
        <v>14600</v>
      </c>
      <c r="J104" s="72">
        <f>SUM(J95:J103)</f>
        <v>1216.6666666666667</v>
      </c>
      <c r="K104" s="74"/>
    </row>
    <row r="105" spans="1:11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74"/>
    </row>
  </sheetData>
  <pageMargins left="0.25" right="0.25" top="0.75" bottom="0.75" header="0.3" footer="0.3"/>
  <pageSetup scale="43" fitToHeight="2" orientation="portrait" r:id="rId1"/>
  <rowBreaks count="1" manualBreakCount="1">
    <brk id="48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opLeftCell="A38" zoomScale="90" zoomScaleNormal="90" workbookViewId="0">
      <selection activeCell="C44" sqref="C44"/>
    </sheetView>
  </sheetViews>
  <sheetFormatPr defaultRowHeight="15" x14ac:dyDescent="0.25"/>
  <cols>
    <col min="1" max="1" width="14.42578125" bestFit="1" customWidth="1"/>
    <col min="2" max="2" width="27.7109375" bestFit="1" customWidth="1"/>
    <col min="3" max="4" width="10.140625" bestFit="1" customWidth="1"/>
    <col min="5" max="5" width="9" bestFit="1" customWidth="1"/>
    <col min="6" max="6" width="12" bestFit="1" customWidth="1"/>
    <col min="7" max="7" width="10.7109375" bestFit="1" customWidth="1"/>
    <col min="8" max="8" width="10.5703125" bestFit="1" customWidth="1"/>
    <col min="9" max="15" width="9.85546875" bestFit="1" customWidth="1"/>
    <col min="16" max="18" width="5.42578125" bestFit="1" customWidth="1"/>
    <col min="19" max="19" width="12" bestFit="1" customWidth="1"/>
    <col min="20" max="20" width="13.85546875" bestFit="1" customWidth="1"/>
    <col min="21" max="21" width="11.42578125" bestFit="1" customWidth="1"/>
  </cols>
  <sheetData>
    <row r="1" spans="1:24" x14ac:dyDescent="0.25">
      <c r="A1" s="10" t="s">
        <v>0</v>
      </c>
      <c r="B1" s="10" t="s">
        <v>1</v>
      </c>
      <c r="C1" s="10" t="s">
        <v>74</v>
      </c>
      <c r="D1" s="10" t="s">
        <v>75</v>
      </c>
      <c r="E1" s="10" t="s">
        <v>73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71</v>
      </c>
      <c r="Q1" s="10" t="s">
        <v>71</v>
      </c>
      <c r="R1" s="10" t="s">
        <v>71</v>
      </c>
      <c r="S1" s="10" t="s">
        <v>17</v>
      </c>
      <c r="T1" s="10" t="s">
        <v>18</v>
      </c>
      <c r="U1" s="10" t="s">
        <v>19</v>
      </c>
      <c r="W1" s="18">
        <v>3</v>
      </c>
      <c r="X1" s="18" t="s">
        <v>76</v>
      </c>
    </row>
    <row r="2" spans="1:24" hidden="1" x14ac:dyDescent="0.25">
      <c r="A2" s="8" t="s">
        <v>96</v>
      </c>
      <c r="B2" s="5" t="s">
        <v>194</v>
      </c>
      <c r="C2" s="23">
        <f>VLOOKUP(A2,'2012'!$A$2:$R$99,18,FALSE)</f>
        <v>150</v>
      </c>
      <c r="D2" s="23">
        <f>VLOOKUP(A2,'2013'!$A$2:$R$101,18,FALSE)</f>
        <v>150</v>
      </c>
      <c r="E2" s="19">
        <f>S2+Y2</f>
        <v>150</v>
      </c>
      <c r="F2" s="7">
        <v>150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150</v>
      </c>
      <c r="T2" s="5">
        <v>201409</v>
      </c>
      <c r="U2" s="15" t="s">
        <v>240</v>
      </c>
      <c r="V2" s="24">
        <f>SUM(G2:O2)</f>
        <v>0</v>
      </c>
      <c r="W2" s="24">
        <f>V2/9</f>
        <v>0</v>
      </c>
      <c r="X2" s="24" t="e">
        <f ca="1">W1*$X$2</f>
        <v>#NUM!</v>
      </c>
    </row>
    <row r="3" spans="1:24" hidden="1" x14ac:dyDescent="0.25">
      <c r="A3" s="9" t="s">
        <v>97</v>
      </c>
      <c r="B3" s="2" t="s">
        <v>195</v>
      </c>
      <c r="C3" s="23">
        <f>VLOOKUP(A3,'2012'!$A$2:$R$99,18,FALSE)</f>
        <v>76601.600000000006</v>
      </c>
      <c r="D3" s="23">
        <f>VLOOKUP(A3,'2013'!$A$2:$R$101,18,FALSE)</f>
        <v>93898.73</v>
      </c>
      <c r="E3" s="19">
        <f t="shared" ref="E3:E37" si="0">S3+Y3</f>
        <v>75952.87</v>
      </c>
      <c r="F3" s="4">
        <v>93898.73</v>
      </c>
      <c r="G3" s="4">
        <v>-53029.599999999999</v>
      </c>
      <c r="H3" s="4">
        <v>-9025.6299999999992</v>
      </c>
      <c r="I3" s="4">
        <v>4852.07</v>
      </c>
      <c r="J3" s="4">
        <v>6085.41</v>
      </c>
      <c r="K3" s="4">
        <v>36871.24</v>
      </c>
      <c r="L3" s="4">
        <v>-37220.54</v>
      </c>
      <c r="M3" s="4">
        <v>31092.53</v>
      </c>
      <c r="N3" s="4">
        <v>-11925.21</v>
      </c>
      <c r="O3" s="4">
        <v>14353.87</v>
      </c>
      <c r="P3" s="4">
        <v>0</v>
      </c>
      <c r="Q3" s="4">
        <v>0</v>
      </c>
      <c r="R3" s="4">
        <v>0</v>
      </c>
      <c r="S3" s="4">
        <v>75952.87</v>
      </c>
      <c r="T3" s="2">
        <v>201409</v>
      </c>
      <c r="U3" s="16" t="s">
        <v>240</v>
      </c>
      <c r="V3" s="24">
        <f t="shared" ref="V3:V66" si="1">SUM(G3:O3)</f>
        <v>-17945.86</v>
      </c>
      <c r="W3" s="24">
        <f t="shared" ref="W3:W66" si="2">V3/9</f>
        <v>-1993.9844444444445</v>
      </c>
      <c r="X3" s="24">
        <f>W3*$W$1</f>
        <v>-5981.9533333333338</v>
      </c>
    </row>
    <row r="4" spans="1:24" hidden="1" x14ac:dyDescent="0.25">
      <c r="A4" s="9" t="s">
        <v>98</v>
      </c>
      <c r="B4" s="2" t="s">
        <v>20</v>
      </c>
      <c r="C4" s="23">
        <f>VLOOKUP(A4,'2012'!$A$2:$R$99,18,FALSE)</f>
        <v>-7326.27</v>
      </c>
      <c r="D4" s="23">
        <f>VLOOKUP(A4,'2013'!$A$2:$R$101,18,FALSE)</f>
        <v>-7326.27</v>
      </c>
      <c r="E4" s="19">
        <f t="shared" si="0"/>
        <v>-7326.27</v>
      </c>
      <c r="F4" s="4">
        <v>-7326.27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-7326.27</v>
      </c>
      <c r="T4" s="2">
        <v>201409</v>
      </c>
      <c r="U4" s="16" t="s">
        <v>240</v>
      </c>
      <c r="V4" s="24">
        <f t="shared" si="1"/>
        <v>0</v>
      </c>
      <c r="W4" s="24">
        <f t="shared" si="2"/>
        <v>0</v>
      </c>
      <c r="X4" s="24">
        <f t="shared" ref="X4:X67" si="3">W4*$W$1</f>
        <v>0</v>
      </c>
    </row>
    <row r="5" spans="1:24" hidden="1" x14ac:dyDescent="0.25">
      <c r="A5" s="9" t="s">
        <v>99</v>
      </c>
      <c r="B5" s="2" t="s">
        <v>21</v>
      </c>
      <c r="C5" s="23">
        <f>VLOOKUP(A5,'2012'!$A$2:$R$99,18,FALSE)</f>
        <v>7326.42</v>
      </c>
      <c r="D5" s="23">
        <f>VLOOKUP(A5,'2013'!$A$2:$R$101,18,FALSE)</f>
        <v>19769.89</v>
      </c>
      <c r="E5" s="19">
        <f t="shared" si="0"/>
        <v>753.29</v>
      </c>
      <c r="F5" s="4">
        <v>19769.89</v>
      </c>
      <c r="G5" s="4">
        <v>49</v>
      </c>
      <c r="H5" s="4">
        <v>-100</v>
      </c>
      <c r="I5" s="4">
        <v>-8638.83</v>
      </c>
      <c r="J5" s="4">
        <v>-892.09</v>
      </c>
      <c r="K5" s="4">
        <v>-9262.0300000000007</v>
      </c>
      <c r="L5" s="4">
        <v>-189.62</v>
      </c>
      <c r="M5" s="4">
        <v>430</v>
      </c>
      <c r="N5" s="4">
        <v>-352.41</v>
      </c>
      <c r="O5" s="4">
        <v>-60.62</v>
      </c>
      <c r="P5" s="4">
        <v>0</v>
      </c>
      <c r="Q5" s="4">
        <v>0</v>
      </c>
      <c r="R5" s="4">
        <v>0</v>
      </c>
      <c r="S5" s="4">
        <v>753.29</v>
      </c>
      <c r="T5" s="2">
        <v>201409</v>
      </c>
      <c r="U5" s="16" t="s">
        <v>240</v>
      </c>
      <c r="V5" s="24">
        <f t="shared" si="1"/>
        <v>-19016.599999999999</v>
      </c>
      <c r="W5" s="24">
        <f t="shared" si="2"/>
        <v>-2112.9555555555553</v>
      </c>
      <c r="X5" s="24">
        <f t="shared" si="3"/>
        <v>-6338.8666666666659</v>
      </c>
    </row>
    <row r="6" spans="1:24" hidden="1" x14ac:dyDescent="0.25">
      <c r="A6" s="9" t="s">
        <v>100</v>
      </c>
      <c r="B6" s="2" t="s">
        <v>22</v>
      </c>
      <c r="C6" s="23">
        <f>VLOOKUP(A6,'2012'!$A$2:$R$99,18,FALSE)</f>
        <v>0</v>
      </c>
      <c r="D6" s="23">
        <f>VLOOKUP(A6,'2013'!$A$2:$R$101,18,FALSE)</f>
        <v>0</v>
      </c>
      <c r="E6" s="19">
        <f t="shared" si="0"/>
        <v>0</v>
      </c>
      <c r="F6" s="4">
        <v>0</v>
      </c>
      <c r="G6" s="4">
        <v>670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-670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2">
        <v>201409</v>
      </c>
      <c r="U6" s="16" t="s">
        <v>240</v>
      </c>
      <c r="V6" s="24">
        <f t="shared" si="1"/>
        <v>0</v>
      </c>
      <c r="W6" s="24">
        <f t="shared" si="2"/>
        <v>0</v>
      </c>
      <c r="X6" s="24">
        <f t="shared" si="3"/>
        <v>0</v>
      </c>
    </row>
    <row r="7" spans="1:24" hidden="1" x14ac:dyDescent="0.25">
      <c r="A7" s="9" t="s">
        <v>101</v>
      </c>
      <c r="B7" s="2" t="s">
        <v>196</v>
      </c>
      <c r="C7" s="23">
        <f>VLOOKUP(A7,'2012'!$A$2:$R$99,18,FALSE)</f>
        <v>6514.29</v>
      </c>
      <c r="D7" s="23">
        <f>VLOOKUP(A7,'2013'!$A$2:$R$101,18,FALSE)</f>
        <v>6514.29</v>
      </c>
      <c r="E7" s="19">
        <f t="shared" si="0"/>
        <v>6514.29</v>
      </c>
      <c r="F7" s="4">
        <v>6514.29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6514.29</v>
      </c>
      <c r="T7" s="2">
        <v>201409</v>
      </c>
      <c r="U7" s="16" t="s">
        <v>240</v>
      </c>
      <c r="V7" s="24">
        <f t="shared" si="1"/>
        <v>0</v>
      </c>
      <c r="W7" s="24">
        <f t="shared" si="2"/>
        <v>0</v>
      </c>
      <c r="X7" s="24">
        <f t="shared" si="3"/>
        <v>0</v>
      </c>
    </row>
    <row r="8" spans="1:24" hidden="1" x14ac:dyDescent="0.25">
      <c r="A8" s="9" t="s">
        <v>102</v>
      </c>
      <c r="B8" s="2" t="s">
        <v>23</v>
      </c>
      <c r="C8" s="23">
        <f>VLOOKUP(A8,'2012'!$A$2:$R$99,18,FALSE)</f>
        <v>36746.28</v>
      </c>
      <c r="D8" s="23">
        <f>VLOOKUP(A8,'2013'!$A$2:$R$101,18,FALSE)</f>
        <v>37333.03</v>
      </c>
      <c r="E8" s="19">
        <f t="shared" si="0"/>
        <v>38361.69</v>
      </c>
      <c r="F8" s="4">
        <v>37333.03</v>
      </c>
      <c r="G8" s="4">
        <v>1003.23</v>
      </c>
      <c r="H8" s="4">
        <v>2.94</v>
      </c>
      <c r="I8" s="4">
        <v>3.26</v>
      </c>
      <c r="J8" s="4">
        <v>3.15</v>
      </c>
      <c r="K8" s="4">
        <v>3.15</v>
      </c>
      <c r="L8" s="4">
        <v>3.26</v>
      </c>
      <c r="M8" s="4">
        <v>3.26</v>
      </c>
      <c r="N8" s="4">
        <v>3.05</v>
      </c>
      <c r="O8" s="4">
        <v>3.36</v>
      </c>
      <c r="P8" s="4">
        <v>0</v>
      </c>
      <c r="Q8" s="4">
        <v>0</v>
      </c>
      <c r="R8" s="4">
        <v>0</v>
      </c>
      <c r="S8" s="4">
        <v>38361.69</v>
      </c>
      <c r="T8" s="2">
        <v>201409</v>
      </c>
      <c r="U8" s="16" t="s">
        <v>240</v>
      </c>
      <c r="V8" s="24">
        <f t="shared" si="1"/>
        <v>1028.6599999999999</v>
      </c>
      <c r="W8" s="24">
        <f t="shared" si="2"/>
        <v>114.29555555555554</v>
      </c>
      <c r="X8" s="24">
        <f t="shared" si="3"/>
        <v>342.8866666666666</v>
      </c>
    </row>
    <row r="9" spans="1:24" hidden="1" x14ac:dyDescent="0.25">
      <c r="A9" s="9" t="s">
        <v>103</v>
      </c>
      <c r="B9" s="2" t="s">
        <v>197</v>
      </c>
      <c r="C9" s="23">
        <f>VLOOKUP(A9,'2012'!$A$2:$R$99,18,FALSE)</f>
        <v>0</v>
      </c>
      <c r="D9" s="23">
        <f>VLOOKUP(A9,'2013'!$A$2:$R$101,18,FALSE)</f>
        <v>0</v>
      </c>
      <c r="E9" s="19">
        <f t="shared" si="0"/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2">
        <v>201409</v>
      </c>
      <c r="U9" s="16" t="s">
        <v>240</v>
      </c>
      <c r="V9" s="24">
        <f t="shared" si="1"/>
        <v>0</v>
      </c>
      <c r="W9" s="24">
        <f t="shared" si="2"/>
        <v>0</v>
      </c>
      <c r="X9" s="24">
        <f t="shared" si="3"/>
        <v>0</v>
      </c>
    </row>
    <row r="10" spans="1:24" hidden="1" x14ac:dyDescent="0.25">
      <c r="A10" s="9" t="s">
        <v>104</v>
      </c>
      <c r="B10" s="2" t="s">
        <v>24</v>
      </c>
      <c r="C10" s="23">
        <f>VLOOKUP(A10,'2012'!$A$2:$R$99,18,FALSE)</f>
        <v>118144.53</v>
      </c>
      <c r="D10" s="23">
        <f>VLOOKUP(A10,'2013'!$A$2:$R$101,18,FALSE)</f>
        <v>154350.51999999999</v>
      </c>
      <c r="E10" s="19">
        <f t="shared" si="0"/>
        <v>131453.79999999999</v>
      </c>
      <c r="F10" s="4">
        <v>154350.51999999999</v>
      </c>
      <c r="G10" s="4">
        <v>3016.23</v>
      </c>
      <c r="H10" s="4">
        <v>3012.25</v>
      </c>
      <c r="I10" s="4">
        <v>-46987.13</v>
      </c>
      <c r="J10" s="4">
        <v>3009.54</v>
      </c>
      <c r="K10" s="4">
        <v>3009.81</v>
      </c>
      <c r="L10" s="4">
        <v>3010.35</v>
      </c>
      <c r="M10" s="4">
        <v>3010.6</v>
      </c>
      <c r="N10" s="4">
        <v>3010.15</v>
      </c>
      <c r="O10" s="4">
        <v>3011.48</v>
      </c>
      <c r="P10" s="4">
        <v>0</v>
      </c>
      <c r="Q10" s="4">
        <v>0</v>
      </c>
      <c r="R10" s="4">
        <v>0</v>
      </c>
      <c r="S10" s="4">
        <v>131453.79999999999</v>
      </c>
      <c r="T10" s="2">
        <v>201409</v>
      </c>
      <c r="U10" s="16" t="s">
        <v>240</v>
      </c>
      <c r="V10" s="24">
        <f t="shared" si="1"/>
        <v>-22896.719999999998</v>
      </c>
      <c r="W10" s="24">
        <f t="shared" si="2"/>
        <v>-2544.08</v>
      </c>
      <c r="X10" s="24">
        <f t="shared" si="3"/>
        <v>-7632.24</v>
      </c>
    </row>
    <row r="11" spans="1:24" hidden="1" x14ac:dyDescent="0.25">
      <c r="A11" s="9" t="s">
        <v>105</v>
      </c>
      <c r="B11" s="2" t="s">
        <v>198</v>
      </c>
      <c r="C11" s="23">
        <f>VLOOKUP(A11,'2012'!$A$2:$R$99,18,FALSE)</f>
        <v>344596.16</v>
      </c>
      <c r="D11" s="23">
        <f>VLOOKUP(A11,'2013'!$A$2:$R$101,18,FALSE)</f>
        <v>344596.16</v>
      </c>
      <c r="E11" s="19">
        <f t="shared" si="0"/>
        <v>344596.16</v>
      </c>
      <c r="F11" s="4">
        <v>344596.16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344596.16</v>
      </c>
      <c r="T11" s="2">
        <v>201409</v>
      </c>
      <c r="U11" s="16" t="s">
        <v>240</v>
      </c>
      <c r="V11" s="24">
        <f t="shared" si="1"/>
        <v>0</v>
      </c>
      <c r="W11" s="24">
        <f t="shared" si="2"/>
        <v>0</v>
      </c>
      <c r="X11" s="24">
        <f t="shared" si="3"/>
        <v>0</v>
      </c>
    </row>
    <row r="12" spans="1:24" hidden="1" x14ac:dyDescent="0.25">
      <c r="A12" s="9" t="s">
        <v>106</v>
      </c>
      <c r="B12" s="2" t="s">
        <v>199</v>
      </c>
      <c r="C12" s="23">
        <f>VLOOKUP(A12,'2012'!$A$2:$R$99,18,FALSE)</f>
        <v>3216151.2</v>
      </c>
      <c r="D12" s="23">
        <f>VLOOKUP(A12,'2013'!$A$2:$R$101,18,FALSE)</f>
        <v>3216151.2</v>
      </c>
      <c r="E12" s="19">
        <f t="shared" si="0"/>
        <v>3216151.2</v>
      </c>
      <c r="F12" s="4">
        <v>3216151.2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3216151.2</v>
      </c>
      <c r="T12" s="2">
        <v>201409</v>
      </c>
      <c r="U12" s="16" t="s">
        <v>240</v>
      </c>
      <c r="V12" s="24">
        <f t="shared" si="1"/>
        <v>0</v>
      </c>
      <c r="W12" s="24">
        <f t="shared" si="2"/>
        <v>0</v>
      </c>
      <c r="X12" s="24">
        <f t="shared" si="3"/>
        <v>0</v>
      </c>
    </row>
    <row r="13" spans="1:24" hidden="1" x14ac:dyDescent="0.25">
      <c r="A13" s="9" t="s">
        <v>107</v>
      </c>
      <c r="B13" s="2" t="s">
        <v>25</v>
      </c>
      <c r="C13" s="23">
        <f>VLOOKUP(A13,'2012'!$A$2:$R$99,18,FALSE)</f>
        <v>188933.91</v>
      </c>
      <c r="D13" s="23">
        <f>VLOOKUP(A13,'2013'!$A$2:$R$101,18,FALSE)</f>
        <v>188933.91</v>
      </c>
      <c r="E13" s="19">
        <f t="shared" si="0"/>
        <v>259072.91</v>
      </c>
      <c r="F13" s="4">
        <v>188933.91</v>
      </c>
      <c r="G13" s="4">
        <v>48984.31</v>
      </c>
      <c r="H13" s="4">
        <v>12537.69</v>
      </c>
      <c r="I13" s="4">
        <v>0</v>
      </c>
      <c r="J13" s="4">
        <v>0</v>
      </c>
      <c r="K13" s="4">
        <v>0</v>
      </c>
      <c r="L13" s="4">
        <v>2400</v>
      </c>
      <c r="M13" s="4">
        <v>0</v>
      </c>
      <c r="N13" s="4">
        <v>6217</v>
      </c>
      <c r="O13" s="4">
        <v>0</v>
      </c>
      <c r="P13" s="4">
        <v>0</v>
      </c>
      <c r="Q13" s="4">
        <v>0</v>
      </c>
      <c r="R13" s="4">
        <v>0</v>
      </c>
      <c r="S13" s="4">
        <v>259072.91</v>
      </c>
      <c r="T13" s="2">
        <v>201409</v>
      </c>
      <c r="U13" s="16" t="s">
        <v>240</v>
      </c>
      <c r="V13" s="24">
        <f t="shared" si="1"/>
        <v>70139</v>
      </c>
      <c r="W13" s="24">
        <f t="shared" si="2"/>
        <v>7793.2222222222226</v>
      </c>
      <c r="X13" s="24">
        <f t="shared" si="3"/>
        <v>23379.666666666668</v>
      </c>
    </row>
    <row r="14" spans="1:24" hidden="1" x14ac:dyDescent="0.25">
      <c r="A14" s="9" t="s">
        <v>108</v>
      </c>
      <c r="B14" s="2" t="s">
        <v>200</v>
      </c>
      <c r="C14" s="23">
        <f>VLOOKUP(A14,'2012'!$A$2:$R$99,18,FALSE)</f>
        <v>237394.89</v>
      </c>
      <c r="D14" s="23">
        <f>VLOOKUP(A14,'2013'!$A$2:$R$101,18,FALSE)</f>
        <v>107189.39</v>
      </c>
      <c r="E14" s="19">
        <f t="shared" si="0"/>
        <v>107189.39</v>
      </c>
      <c r="F14" s="4">
        <v>107189.39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107189.39</v>
      </c>
      <c r="T14" s="2">
        <v>201409</v>
      </c>
      <c r="U14" s="16" t="s">
        <v>240</v>
      </c>
      <c r="V14" s="24">
        <f t="shared" si="1"/>
        <v>0</v>
      </c>
      <c r="W14" s="24">
        <f t="shared" si="2"/>
        <v>0</v>
      </c>
      <c r="X14" s="24">
        <f t="shared" si="3"/>
        <v>0</v>
      </c>
    </row>
    <row r="15" spans="1:24" hidden="1" x14ac:dyDescent="0.25">
      <c r="A15" s="9" t="s">
        <v>109</v>
      </c>
      <c r="B15" s="2" t="s">
        <v>201</v>
      </c>
      <c r="C15" s="23">
        <f>VLOOKUP(A15,'2012'!$A$2:$R$99,18,FALSE)</f>
        <v>84718.99</v>
      </c>
      <c r="D15" s="23">
        <f>VLOOKUP(A15,'2013'!$A$2:$R$101,18,FALSE)</f>
        <v>94961.99</v>
      </c>
      <c r="E15" s="19">
        <f t="shared" si="0"/>
        <v>99296.85</v>
      </c>
      <c r="F15" s="4">
        <v>94961.99</v>
      </c>
      <c r="G15" s="4">
        <v>0</v>
      </c>
      <c r="H15" s="4">
        <v>619.5</v>
      </c>
      <c r="I15" s="4">
        <v>1457</v>
      </c>
      <c r="J15" s="4">
        <v>1593.36</v>
      </c>
      <c r="K15" s="4">
        <v>0</v>
      </c>
      <c r="L15" s="4">
        <v>-2297</v>
      </c>
      <c r="M15" s="4">
        <v>2475</v>
      </c>
      <c r="N15" s="4">
        <v>487</v>
      </c>
      <c r="O15" s="4">
        <v>0</v>
      </c>
      <c r="P15" s="4">
        <v>0</v>
      </c>
      <c r="Q15" s="4">
        <v>0</v>
      </c>
      <c r="R15" s="4">
        <v>0</v>
      </c>
      <c r="S15" s="4">
        <v>99296.85</v>
      </c>
      <c r="T15" s="2">
        <v>201409</v>
      </c>
      <c r="U15" s="16" t="s">
        <v>240</v>
      </c>
      <c r="V15" s="24">
        <f t="shared" si="1"/>
        <v>4334.8599999999997</v>
      </c>
      <c r="W15" s="24">
        <f t="shared" si="2"/>
        <v>481.65111111111105</v>
      </c>
      <c r="X15" s="24">
        <f t="shared" si="3"/>
        <v>1444.9533333333331</v>
      </c>
    </row>
    <row r="16" spans="1:24" hidden="1" x14ac:dyDescent="0.25">
      <c r="A16" s="9" t="s">
        <v>110</v>
      </c>
      <c r="B16" s="2" t="s">
        <v>202</v>
      </c>
      <c r="C16" s="23">
        <f>VLOOKUP(A16,'2012'!$A$2:$R$99,18,FALSE)</f>
        <v>0</v>
      </c>
      <c r="D16" s="23">
        <f>VLOOKUP(A16,'2013'!$A$2:$R$101,18,FALSE)</f>
        <v>0</v>
      </c>
      <c r="E16" s="19">
        <f t="shared" si="0"/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2">
        <v>201409</v>
      </c>
      <c r="U16" s="16" t="s">
        <v>240</v>
      </c>
      <c r="V16" s="24">
        <f t="shared" si="1"/>
        <v>0</v>
      </c>
      <c r="W16" s="24">
        <f t="shared" si="2"/>
        <v>0</v>
      </c>
      <c r="X16" s="24">
        <f t="shared" si="3"/>
        <v>0</v>
      </c>
    </row>
    <row r="17" spans="1:24" hidden="1" x14ac:dyDescent="0.25">
      <c r="A17" s="9" t="s">
        <v>111</v>
      </c>
      <c r="B17" s="2" t="s">
        <v>64</v>
      </c>
      <c r="C17" s="23">
        <f>VLOOKUP(A17,'2012'!$A$2:$R$99,18,FALSE)</f>
        <v>600</v>
      </c>
      <c r="D17" s="23">
        <f>VLOOKUP(A17,'2013'!$A$2:$R$101,18,FALSE)</f>
        <v>600</v>
      </c>
      <c r="E17" s="19">
        <f t="shared" si="0"/>
        <v>600</v>
      </c>
      <c r="F17" s="4">
        <v>600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600</v>
      </c>
      <c r="T17" s="2">
        <v>201409</v>
      </c>
      <c r="U17" s="16" t="s">
        <v>240</v>
      </c>
      <c r="V17" s="24">
        <f t="shared" si="1"/>
        <v>0</v>
      </c>
      <c r="W17" s="24">
        <f t="shared" si="2"/>
        <v>0</v>
      </c>
      <c r="X17" s="24">
        <f t="shared" si="3"/>
        <v>0</v>
      </c>
    </row>
    <row r="18" spans="1:24" hidden="1" x14ac:dyDescent="0.25">
      <c r="A18" s="9" t="s">
        <v>112</v>
      </c>
      <c r="B18" s="2" t="s">
        <v>26</v>
      </c>
      <c r="C18" s="23">
        <f>VLOOKUP(A18,'2012'!$A$2:$R$99,18,FALSE)</f>
        <v>166956.41</v>
      </c>
      <c r="D18" s="23">
        <f>VLOOKUP(A18,'2013'!$A$2:$R$101,18,FALSE)</f>
        <v>97518.76</v>
      </c>
      <c r="E18" s="19">
        <f t="shared" si="0"/>
        <v>121234.75</v>
      </c>
      <c r="F18" s="4">
        <v>97518.76</v>
      </c>
      <c r="G18" s="4">
        <v>1578.31</v>
      </c>
      <c r="H18" s="4">
        <v>0</v>
      </c>
      <c r="I18" s="4">
        <v>899.53</v>
      </c>
      <c r="J18" s="4">
        <v>3877.93</v>
      </c>
      <c r="K18" s="4">
        <v>2591.23</v>
      </c>
      <c r="L18" s="4">
        <v>167.92</v>
      </c>
      <c r="M18" s="4">
        <v>7001.27</v>
      </c>
      <c r="N18" s="4">
        <v>3388.66</v>
      </c>
      <c r="O18" s="4">
        <v>4211.1400000000003</v>
      </c>
      <c r="P18" s="4">
        <v>0</v>
      </c>
      <c r="Q18" s="4">
        <v>0</v>
      </c>
      <c r="R18" s="4">
        <v>0</v>
      </c>
      <c r="S18" s="4">
        <v>121234.75</v>
      </c>
      <c r="T18" s="2">
        <v>201409</v>
      </c>
      <c r="U18" s="16" t="s">
        <v>240</v>
      </c>
      <c r="V18" s="24">
        <f t="shared" si="1"/>
        <v>23715.989999999998</v>
      </c>
      <c r="W18" s="24">
        <f t="shared" si="2"/>
        <v>2635.1099999999997</v>
      </c>
      <c r="X18" s="24">
        <f t="shared" si="3"/>
        <v>7905.329999999999</v>
      </c>
    </row>
    <row r="19" spans="1:24" hidden="1" x14ac:dyDescent="0.25">
      <c r="A19" s="9" t="s">
        <v>113</v>
      </c>
      <c r="B19" s="2" t="s">
        <v>65</v>
      </c>
      <c r="C19" s="23">
        <f>VLOOKUP(A19,'2012'!$A$2:$R$99,18,FALSE)</f>
        <v>45157.05</v>
      </c>
      <c r="D19" s="23">
        <f>VLOOKUP(A19,'2013'!$A$2:$R$101,18,FALSE)</f>
        <v>42657.05</v>
      </c>
      <c r="E19" s="19">
        <f t="shared" si="0"/>
        <v>42449.05</v>
      </c>
      <c r="F19" s="4">
        <v>42657.05</v>
      </c>
      <c r="G19" s="4">
        <v>0</v>
      </c>
      <c r="H19" s="4">
        <v>0</v>
      </c>
      <c r="I19" s="4">
        <v>0</v>
      </c>
      <c r="J19" s="4">
        <v>0</v>
      </c>
      <c r="K19" s="4">
        <v>884</v>
      </c>
      <c r="L19" s="4">
        <v>-1092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42449.05</v>
      </c>
      <c r="T19" s="2">
        <v>201409</v>
      </c>
      <c r="U19" s="16" t="s">
        <v>240</v>
      </c>
      <c r="V19" s="24">
        <f t="shared" si="1"/>
        <v>-208</v>
      </c>
      <c r="W19" s="24">
        <f t="shared" si="2"/>
        <v>-23.111111111111111</v>
      </c>
      <c r="X19" s="24">
        <f t="shared" si="3"/>
        <v>-69.333333333333329</v>
      </c>
    </row>
    <row r="20" spans="1:24" hidden="1" x14ac:dyDescent="0.25">
      <c r="A20" s="9" t="s">
        <v>114</v>
      </c>
      <c r="B20" s="2" t="s">
        <v>27</v>
      </c>
      <c r="C20" s="23">
        <f>VLOOKUP(A20,'2012'!$A$2:$R$99,18,FALSE)</f>
        <v>-883041.48</v>
      </c>
      <c r="D20" s="23">
        <f>VLOOKUP(A20,'2013'!$A$2:$R$101,18,FALSE)</f>
        <v>-820888.9</v>
      </c>
      <c r="E20" s="19">
        <f t="shared" si="0"/>
        <v>-794229.07</v>
      </c>
      <c r="F20" s="4">
        <v>-820888.9</v>
      </c>
      <c r="G20" s="4">
        <v>-27015.34</v>
      </c>
      <c r="H20" s="4">
        <v>5772.1</v>
      </c>
      <c r="I20" s="4">
        <v>36408.07</v>
      </c>
      <c r="J20" s="4">
        <v>6491.01</v>
      </c>
      <c r="K20" s="4">
        <v>-1369.02</v>
      </c>
      <c r="L20" s="4">
        <v>12401.92</v>
      </c>
      <c r="M20" s="4">
        <v>-8087.41</v>
      </c>
      <c r="N20" s="4">
        <v>13597.96</v>
      </c>
      <c r="O20" s="4">
        <v>-11539.46</v>
      </c>
      <c r="P20" s="4">
        <v>0</v>
      </c>
      <c r="Q20" s="4">
        <v>0</v>
      </c>
      <c r="R20" s="4">
        <v>0</v>
      </c>
      <c r="S20" s="4">
        <v>-794229.07</v>
      </c>
      <c r="T20" s="2">
        <v>201409</v>
      </c>
      <c r="U20" s="16" t="s">
        <v>240</v>
      </c>
      <c r="V20" s="24">
        <f t="shared" si="1"/>
        <v>26659.830000000009</v>
      </c>
      <c r="W20" s="24">
        <f t="shared" si="2"/>
        <v>2962.2033333333343</v>
      </c>
      <c r="X20" s="24">
        <f t="shared" si="3"/>
        <v>8886.6100000000024</v>
      </c>
    </row>
    <row r="21" spans="1:24" hidden="1" x14ac:dyDescent="0.25">
      <c r="A21" s="9" t="s">
        <v>115</v>
      </c>
      <c r="B21" s="2" t="s">
        <v>28</v>
      </c>
      <c r="C21" s="23">
        <f>VLOOKUP(A21,'2012'!$A$2:$R$99,18,FALSE)</f>
        <v>-9334.51</v>
      </c>
      <c r="D21" s="23">
        <f>VLOOKUP(A21,'2013'!$A$2:$R$101,18,FALSE)</f>
        <v>-8834.76</v>
      </c>
      <c r="E21" s="19">
        <f t="shared" si="0"/>
        <v>0</v>
      </c>
      <c r="F21" s="4">
        <v>-8834.76</v>
      </c>
      <c r="G21" s="4">
        <v>8834.76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2">
        <v>201409</v>
      </c>
      <c r="U21" s="16" t="s">
        <v>240</v>
      </c>
      <c r="V21" s="24">
        <f t="shared" si="1"/>
        <v>8834.76</v>
      </c>
      <c r="W21" s="24">
        <f t="shared" si="2"/>
        <v>981.64</v>
      </c>
      <c r="X21" s="24">
        <f t="shared" si="3"/>
        <v>2944.92</v>
      </c>
    </row>
    <row r="22" spans="1:24" hidden="1" x14ac:dyDescent="0.25">
      <c r="A22" s="9" t="s">
        <v>116</v>
      </c>
      <c r="B22" s="2" t="s">
        <v>29</v>
      </c>
      <c r="C22" s="23">
        <f>VLOOKUP(A22,'2012'!$A$2:$R$99,18,FALSE)</f>
        <v>-45577.03</v>
      </c>
      <c r="D22" s="23">
        <f>VLOOKUP(A22,'2013'!$A$2:$R$101,18,FALSE)</f>
        <v>-39015.919999999998</v>
      </c>
      <c r="E22" s="19">
        <f t="shared" si="0"/>
        <v>-27360.240000000002</v>
      </c>
      <c r="F22" s="4">
        <v>-39015.919999999998</v>
      </c>
      <c r="G22" s="4">
        <v>-3538.45</v>
      </c>
      <c r="H22" s="4">
        <v>3857.53</v>
      </c>
      <c r="I22" s="4">
        <v>16822.490000000002</v>
      </c>
      <c r="J22" s="4">
        <v>-162.76</v>
      </c>
      <c r="K22" s="4">
        <v>-162.09</v>
      </c>
      <c r="L22" s="4">
        <v>3305.31</v>
      </c>
      <c r="M22" s="4">
        <v>-4818.1499999999996</v>
      </c>
      <c r="N22" s="4">
        <v>-77.8</v>
      </c>
      <c r="O22" s="4">
        <v>-3570.4</v>
      </c>
      <c r="P22" s="4">
        <v>0</v>
      </c>
      <c r="Q22" s="4">
        <v>0</v>
      </c>
      <c r="R22" s="4">
        <v>0</v>
      </c>
      <c r="S22" s="4">
        <v>-27360.240000000002</v>
      </c>
      <c r="T22" s="2">
        <v>201409</v>
      </c>
      <c r="U22" s="16" t="s">
        <v>240</v>
      </c>
      <c r="V22" s="24">
        <f t="shared" si="1"/>
        <v>11655.680000000008</v>
      </c>
      <c r="W22" s="24">
        <f t="shared" si="2"/>
        <v>1295.0755555555563</v>
      </c>
      <c r="X22" s="24">
        <f t="shared" si="3"/>
        <v>3885.2266666666692</v>
      </c>
    </row>
    <row r="23" spans="1:24" hidden="1" x14ac:dyDescent="0.25">
      <c r="A23" s="9" t="s">
        <v>117</v>
      </c>
      <c r="B23" s="2" t="s">
        <v>30</v>
      </c>
      <c r="C23" s="23">
        <f>VLOOKUP(A23,'2012'!$A$2:$R$99,18,FALSE)</f>
        <v>-24110</v>
      </c>
      <c r="D23" s="23">
        <f>VLOOKUP(A23,'2013'!$A$2:$R$101,18,FALSE)</f>
        <v>-24521</v>
      </c>
      <c r="E23" s="19">
        <f t="shared" si="0"/>
        <v>-37812</v>
      </c>
      <c r="F23" s="4">
        <v>-24521</v>
      </c>
      <c r="G23" s="4">
        <v>-900</v>
      </c>
      <c r="H23" s="4">
        <v>0</v>
      </c>
      <c r="I23" s="4">
        <v>-351</v>
      </c>
      <c r="J23" s="4">
        <v>-1430</v>
      </c>
      <c r="K23" s="4">
        <v>-2160</v>
      </c>
      <c r="L23" s="4">
        <v>231</v>
      </c>
      <c r="M23" s="4">
        <v>-2950</v>
      </c>
      <c r="N23" s="4">
        <v>-3510.34</v>
      </c>
      <c r="O23" s="4">
        <v>-2220.66</v>
      </c>
      <c r="P23" s="4">
        <v>0</v>
      </c>
      <c r="Q23" s="4">
        <v>0</v>
      </c>
      <c r="R23" s="4">
        <v>0</v>
      </c>
      <c r="S23" s="4">
        <v>-37812</v>
      </c>
      <c r="T23" s="2">
        <v>201409</v>
      </c>
      <c r="U23" s="16" t="s">
        <v>240</v>
      </c>
      <c r="V23" s="24">
        <f t="shared" si="1"/>
        <v>-13291</v>
      </c>
      <c r="W23" s="24">
        <f t="shared" si="2"/>
        <v>-1476.7777777777778</v>
      </c>
      <c r="X23" s="24">
        <f t="shared" si="3"/>
        <v>-4430.3333333333339</v>
      </c>
    </row>
    <row r="24" spans="1:24" hidden="1" x14ac:dyDescent="0.25">
      <c r="A24" s="9" t="s">
        <v>118</v>
      </c>
      <c r="B24" s="2" t="s">
        <v>203</v>
      </c>
      <c r="C24" s="23">
        <f>VLOOKUP(A24,'2012'!$A$2:$R$99,18,FALSE)</f>
        <v>-11600</v>
      </c>
      <c r="D24" s="23">
        <f>VLOOKUP(A24,'2013'!$A$2:$R$101,18,FALSE)</f>
        <v>-12705</v>
      </c>
      <c r="E24" s="19">
        <f t="shared" si="0"/>
        <v>-12750.42</v>
      </c>
      <c r="F24" s="4">
        <v>-12705</v>
      </c>
      <c r="G24" s="4">
        <v>-200</v>
      </c>
      <c r="H24" s="4">
        <v>0</v>
      </c>
      <c r="I24" s="4">
        <v>355</v>
      </c>
      <c r="J24" s="4">
        <v>0</v>
      </c>
      <c r="K24" s="4">
        <v>-600</v>
      </c>
      <c r="L24" s="4">
        <v>2000</v>
      </c>
      <c r="M24" s="4">
        <v>-558.66</v>
      </c>
      <c r="N24" s="4">
        <v>-650</v>
      </c>
      <c r="O24" s="4">
        <v>-391.76</v>
      </c>
      <c r="P24" s="4">
        <v>0</v>
      </c>
      <c r="Q24" s="4">
        <v>0</v>
      </c>
      <c r="R24" s="4">
        <v>0</v>
      </c>
      <c r="S24" s="4">
        <v>-12750.42</v>
      </c>
      <c r="T24" s="2">
        <v>201409</v>
      </c>
      <c r="U24" s="16" t="s">
        <v>240</v>
      </c>
      <c r="V24" s="24">
        <f t="shared" si="1"/>
        <v>-45.419999999999959</v>
      </c>
      <c r="W24" s="24">
        <f t="shared" si="2"/>
        <v>-5.0466666666666624</v>
      </c>
      <c r="X24" s="24">
        <f t="shared" si="3"/>
        <v>-15.139999999999986</v>
      </c>
    </row>
    <row r="25" spans="1:24" hidden="1" x14ac:dyDescent="0.25">
      <c r="A25" s="9" t="s">
        <v>119</v>
      </c>
      <c r="B25" s="2" t="s">
        <v>204</v>
      </c>
      <c r="C25" s="23">
        <f>VLOOKUP(A25,'2012'!$A$2:$R$99,18,FALSE)</f>
        <v>-5477</v>
      </c>
      <c r="D25" s="23">
        <f>VLOOKUP(A25,'2013'!$A$2:$R$101,18,FALSE)</f>
        <v>0</v>
      </c>
      <c r="E25" s="19">
        <f t="shared" si="0"/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2">
        <v>201409</v>
      </c>
      <c r="U25" s="16" t="s">
        <v>240</v>
      </c>
      <c r="V25" s="24">
        <f t="shared" si="1"/>
        <v>0</v>
      </c>
      <c r="W25" s="24">
        <f t="shared" si="2"/>
        <v>0</v>
      </c>
      <c r="X25" s="24">
        <f t="shared" si="3"/>
        <v>0</v>
      </c>
    </row>
    <row r="26" spans="1:24" hidden="1" x14ac:dyDescent="0.25">
      <c r="A26" s="9" t="s">
        <v>120</v>
      </c>
      <c r="B26" s="2" t="s">
        <v>205</v>
      </c>
      <c r="C26" s="23">
        <f>VLOOKUP(A26,'2012'!$A$2:$R$99,18,FALSE)</f>
        <v>0</v>
      </c>
      <c r="D26" s="23">
        <f>VLOOKUP(A26,'2013'!$A$2:$R$101,18,FALSE)</f>
        <v>0</v>
      </c>
      <c r="E26" s="19">
        <f t="shared" si="0"/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2">
        <v>201409</v>
      </c>
      <c r="U26" s="16" t="s">
        <v>240</v>
      </c>
      <c r="V26" s="24">
        <f t="shared" si="1"/>
        <v>0</v>
      </c>
      <c r="W26" s="24">
        <f t="shared" si="2"/>
        <v>0</v>
      </c>
      <c r="X26" s="24">
        <f t="shared" si="3"/>
        <v>0</v>
      </c>
    </row>
    <row r="27" spans="1:24" hidden="1" x14ac:dyDescent="0.25">
      <c r="A27" s="9" t="s">
        <v>121</v>
      </c>
      <c r="B27" s="2" t="s">
        <v>206</v>
      </c>
      <c r="C27" s="23">
        <f>VLOOKUP(A27,'2012'!$A$2:$R$99,18,FALSE)</f>
        <v>-1124599.1599999999</v>
      </c>
      <c r="D27" s="23">
        <f>VLOOKUP(A27,'2013'!$A$2:$R$101,18,FALSE)</f>
        <v>-900079.81</v>
      </c>
      <c r="E27" s="19">
        <f t="shared" si="0"/>
        <v>-706450.82</v>
      </c>
      <c r="F27" s="4">
        <v>-900079.81</v>
      </c>
      <c r="G27" s="4">
        <v>38244</v>
      </c>
      <c r="H27" s="4">
        <v>19211.68</v>
      </c>
      <c r="I27" s="4">
        <v>19271.72</v>
      </c>
      <c r="J27" s="4">
        <v>19331.939999999999</v>
      </c>
      <c r="K27" s="4">
        <v>0</v>
      </c>
      <c r="L27" s="4">
        <v>38845.300000000003</v>
      </c>
      <c r="M27" s="4">
        <v>19513.740000000002</v>
      </c>
      <c r="N27" s="4">
        <v>19574.72</v>
      </c>
      <c r="O27" s="4">
        <v>19635.89</v>
      </c>
      <c r="P27" s="4">
        <v>0</v>
      </c>
      <c r="Q27" s="4">
        <v>0</v>
      </c>
      <c r="R27" s="4">
        <v>0</v>
      </c>
      <c r="S27" s="4">
        <v>-706450.82</v>
      </c>
      <c r="T27" s="2">
        <v>201409</v>
      </c>
      <c r="U27" s="16" t="s">
        <v>240</v>
      </c>
      <c r="V27" s="24">
        <f t="shared" si="1"/>
        <v>193628.99</v>
      </c>
      <c r="W27" s="24">
        <f t="shared" si="2"/>
        <v>21514.33222222222</v>
      </c>
      <c r="X27" s="24">
        <f t="shared" si="3"/>
        <v>64542.996666666659</v>
      </c>
    </row>
    <row r="28" spans="1:24" hidden="1" x14ac:dyDescent="0.25">
      <c r="A28" s="9" t="s">
        <v>122</v>
      </c>
      <c r="B28" s="2" t="s">
        <v>31</v>
      </c>
      <c r="C28" s="23">
        <f>VLOOKUP(A28,'2012'!$A$2:$R$99,18,FALSE)</f>
        <v>-1721220.89</v>
      </c>
      <c r="D28" s="23">
        <f>VLOOKUP(A28,'2013'!$A$2:$R$101,18,FALSE)</f>
        <v>-1643486.68</v>
      </c>
      <c r="E28" s="19">
        <f t="shared" si="0"/>
        <v>-1729362.64</v>
      </c>
      <c r="F28" s="4">
        <v>-1643486.68</v>
      </c>
      <c r="G28" s="4">
        <v>-10561.58</v>
      </c>
      <c r="H28" s="4">
        <v>-10561.58</v>
      </c>
      <c r="I28" s="4">
        <v>-10561.58</v>
      </c>
      <c r="J28" s="4">
        <v>-10561.58</v>
      </c>
      <c r="K28" s="4">
        <v>-10561.58</v>
      </c>
      <c r="L28" s="4">
        <v>-2276.12</v>
      </c>
      <c r="M28" s="4">
        <v>-10263.98</v>
      </c>
      <c r="N28" s="4">
        <v>-10263.98</v>
      </c>
      <c r="O28" s="4">
        <v>-10263.98</v>
      </c>
      <c r="P28" s="4">
        <v>0</v>
      </c>
      <c r="Q28" s="4">
        <v>0</v>
      </c>
      <c r="R28" s="4">
        <v>0</v>
      </c>
      <c r="S28" s="4">
        <v>-1729362.64</v>
      </c>
      <c r="T28" s="2">
        <v>201409</v>
      </c>
      <c r="U28" s="16" t="s">
        <v>240</v>
      </c>
      <c r="V28" s="24">
        <f t="shared" si="1"/>
        <v>-85875.959999999992</v>
      </c>
      <c r="W28" s="24">
        <f t="shared" si="2"/>
        <v>-9541.7733333333326</v>
      </c>
      <c r="X28" s="24">
        <f t="shared" si="3"/>
        <v>-28625.32</v>
      </c>
    </row>
    <row r="29" spans="1:24" hidden="1" x14ac:dyDescent="0.25">
      <c r="A29" s="9" t="s">
        <v>123</v>
      </c>
      <c r="B29" s="2" t="s">
        <v>207</v>
      </c>
      <c r="C29" s="23">
        <f>VLOOKUP(A29,'2012'!$A$2:$R$99,18,FALSE)</f>
        <v>0</v>
      </c>
      <c r="D29" s="23">
        <f>VLOOKUP(A29,'2013'!$A$2:$R$101,18,FALSE)</f>
        <v>0</v>
      </c>
      <c r="E29" s="19">
        <f t="shared" si="0"/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2">
        <v>201409</v>
      </c>
      <c r="U29" s="16" t="s">
        <v>240</v>
      </c>
      <c r="V29" s="24">
        <f t="shared" si="1"/>
        <v>0</v>
      </c>
      <c r="W29" s="24">
        <f t="shared" si="2"/>
        <v>0</v>
      </c>
      <c r="X29" s="24">
        <f t="shared" si="3"/>
        <v>0</v>
      </c>
    </row>
    <row r="30" spans="1:24" hidden="1" x14ac:dyDescent="0.25">
      <c r="A30" s="9" t="s">
        <v>124</v>
      </c>
      <c r="B30" s="2" t="s">
        <v>208</v>
      </c>
      <c r="C30" s="23">
        <f>VLOOKUP(A30,'2012'!$A$2:$R$99,18,FALSE)</f>
        <v>0</v>
      </c>
      <c r="D30" s="23">
        <f>VLOOKUP(A30,'2013'!$A$2:$R$101,18,FALSE)</f>
        <v>0</v>
      </c>
      <c r="E30" s="19">
        <f t="shared" si="0"/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2">
        <v>201409</v>
      </c>
      <c r="U30" s="16" t="s">
        <v>240</v>
      </c>
      <c r="V30" s="24">
        <f t="shared" si="1"/>
        <v>0</v>
      </c>
      <c r="W30" s="24">
        <f t="shared" si="2"/>
        <v>0</v>
      </c>
      <c r="X30" s="24">
        <f t="shared" si="3"/>
        <v>0</v>
      </c>
    </row>
    <row r="31" spans="1:24" hidden="1" x14ac:dyDescent="0.25">
      <c r="A31" s="9" t="s">
        <v>125</v>
      </c>
      <c r="B31" s="2" t="s">
        <v>209</v>
      </c>
      <c r="C31" s="23">
        <f>VLOOKUP(A31,'2012'!$A$2:$R$99,18,FALSE)</f>
        <v>0</v>
      </c>
      <c r="D31" s="23">
        <f>VLOOKUP(A31,'2013'!$A$2:$R$101,18,FALSE)</f>
        <v>0</v>
      </c>
      <c r="E31" s="19">
        <f t="shared" si="0"/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2">
        <v>201409</v>
      </c>
      <c r="U31" s="16" t="s">
        <v>240</v>
      </c>
      <c r="V31" s="24">
        <f t="shared" si="1"/>
        <v>0</v>
      </c>
      <c r="W31" s="24">
        <f t="shared" si="2"/>
        <v>0</v>
      </c>
      <c r="X31" s="24">
        <f t="shared" si="3"/>
        <v>0</v>
      </c>
    </row>
    <row r="32" spans="1:24" hidden="1" x14ac:dyDescent="0.25">
      <c r="A32" s="9" t="s">
        <v>126</v>
      </c>
      <c r="B32" s="2" t="s">
        <v>210</v>
      </c>
      <c r="C32" s="23">
        <f>VLOOKUP(A32,'2012'!$A$2:$R$99,18,FALSE)</f>
        <v>0</v>
      </c>
      <c r="D32" s="23">
        <f>VLOOKUP(A32,'2013'!$A$2:$R$101,18,FALSE)</f>
        <v>0</v>
      </c>
      <c r="E32" s="19">
        <f t="shared" si="0"/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2">
        <v>201409</v>
      </c>
      <c r="U32" s="16" t="s">
        <v>240</v>
      </c>
      <c r="V32" s="24">
        <f t="shared" si="1"/>
        <v>0</v>
      </c>
      <c r="W32" s="24">
        <f t="shared" si="2"/>
        <v>0</v>
      </c>
      <c r="X32" s="24">
        <f t="shared" si="3"/>
        <v>0</v>
      </c>
    </row>
    <row r="33" spans="1:24" hidden="1" x14ac:dyDescent="0.25">
      <c r="A33" s="9" t="s">
        <v>127</v>
      </c>
      <c r="B33" s="2" t="s">
        <v>211</v>
      </c>
      <c r="C33" s="23">
        <f>VLOOKUP(A33,'2012'!$A$2:$R$99,18,FALSE)</f>
        <v>0</v>
      </c>
      <c r="D33" s="23">
        <f>VLOOKUP(A33,'2013'!$A$2:$R$101,18,FALSE)</f>
        <v>0</v>
      </c>
      <c r="E33" s="19">
        <f t="shared" si="0"/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2">
        <v>201409</v>
      </c>
      <c r="U33" s="16" t="s">
        <v>240</v>
      </c>
      <c r="V33" s="24">
        <f t="shared" si="1"/>
        <v>0</v>
      </c>
      <c r="W33" s="24">
        <f t="shared" si="2"/>
        <v>0</v>
      </c>
      <c r="X33" s="24">
        <f t="shared" si="3"/>
        <v>0</v>
      </c>
    </row>
    <row r="34" spans="1:24" hidden="1" x14ac:dyDescent="0.25">
      <c r="A34" s="9" t="s">
        <v>128</v>
      </c>
      <c r="B34" s="2" t="s">
        <v>212</v>
      </c>
      <c r="C34" s="23">
        <f>VLOOKUP(A34,'2012'!$A$2:$R$99,18,FALSE)</f>
        <v>129159.81</v>
      </c>
      <c r="D34" s="23">
        <f>VLOOKUP(A34,'2013'!$A$2:$R$101,18,FALSE)</f>
        <v>387142.72</v>
      </c>
      <c r="E34" s="19">
        <f t="shared" si="0"/>
        <v>637206.75</v>
      </c>
      <c r="F34" s="4">
        <v>387142.72</v>
      </c>
      <c r="G34" s="4">
        <v>250064.03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637206.75</v>
      </c>
      <c r="T34" s="2">
        <v>201409</v>
      </c>
      <c r="U34" s="16" t="s">
        <v>240</v>
      </c>
      <c r="V34" s="24">
        <f t="shared" si="1"/>
        <v>250064.03</v>
      </c>
      <c r="W34" s="24">
        <f t="shared" si="2"/>
        <v>27784.892222222221</v>
      </c>
      <c r="X34" s="24">
        <f t="shared" si="3"/>
        <v>83354.676666666666</v>
      </c>
    </row>
    <row r="35" spans="1:24" hidden="1" x14ac:dyDescent="0.25">
      <c r="A35" s="9" t="s">
        <v>129</v>
      </c>
      <c r="B35" s="2" t="s">
        <v>213</v>
      </c>
      <c r="C35" s="23">
        <f>VLOOKUP(A35,'2012'!$A$2:$R$99,18,FALSE)</f>
        <v>-293000</v>
      </c>
      <c r="D35" s="23">
        <f>VLOOKUP(A35,'2013'!$A$2:$R$101,18,FALSE)</f>
        <v>-293000</v>
      </c>
      <c r="E35" s="19">
        <f t="shared" si="0"/>
        <v>-293000</v>
      </c>
      <c r="F35" s="4">
        <v>-293000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-293000</v>
      </c>
      <c r="T35" s="2">
        <v>201409</v>
      </c>
      <c r="U35" s="16" t="s">
        <v>240</v>
      </c>
      <c r="V35" s="24">
        <f t="shared" si="1"/>
        <v>0</v>
      </c>
      <c r="W35" s="24">
        <f t="shared" si="2"/>
        <v>0</v>
      </c>
      <c r="X35" s="24">
        <f t="shared" si="3"/>
        <v>0</v>
      </c>
    </row>
    <row r="36" spans="1:24" hidden="1" x14ac:dyDescent="0.25">
      <c r="A36" s="9" t="s">
        <v>130</v>
      </c>
      <c r="B36" s="2" t="s">
        <v>32</v>
      </c>
      <c r="C36" s="23">
        <f>VLOOKUP(A36,'2012'!$A$2:$R$99,18,FALSE)</f>
        <v>418982.41</v>
      </c>
      <c r="D36" s="23">
        <f>VLOOKUP(A36,'2013'!$A$2:$R$101,18,FALSE)</f>
        <v>160999.5</v>
      </c>
      <c r="E36" s="19">
        <f t="shared" si="0"/>
        <v>-89064.53</v>
      </c>
      <c r="F36" s="4">
        <v>160999.5</v>
      </c>
      <c r="G36" s="4">
        <v>-250064.03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-89064.53</v>
      </c>
      <c r="T36" s="2">
        <v>201409</v>
      </c>
      <c r="U36" s="16" t="s">
        <v>240</v>
      </c>
      <c r="V36" s="24">
        <f t="shared" si="1"/>
        <v>-250064.03</v>
      </c>
      <c r="W36" s="24">
        <f t="shared" si="2"/>
        <v>-27784.892222222221</v>
      </c>
      <c r="X36" s="24">
        <f t="shared" si="3"/>
        <v>-83354.676666666666</v>
      </c>
    </row>
    <row r="37" spans="1:24" hidden="1" x14ac:dyDescent="0.25">
      <c r="A37" s="9" t="s">
        <v>131</v>
      </c>
      <c r="B37" s="2" t="s">
        <v>214</v>
      </c>
      <c r="C37" s="23">
        <f>VLOOKUP(A37,'2012'!$A$2:$R$99,18,FALSE)</f>
        <v>-565702.05000000005</v>
      </c>
      <c r="D37" s="23">
        <f>VLOOKUP(A37,'2013'!$A$2:$R$101,18,FALSE)</f>
        <v>-565702.05000000005</v>
      </c>
      <c r="E37" s="19">
        <f t="shared" si="0"/>
        <v>-565702.05000000005</v>
      </c>
      <c r="F37" s="4">
        <v>-565702.05000000005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-565702.05000000005</v>
      </c>
      <c r="T37" s="2">
        <v>201409</v>
      </c>
      <c r="U37" s="16" t="s">
        <v>240</v>
      </c>
      <c r="V37" s="24">
        <f t="shared" si="1"/>
        <v>0</v>
      </c>
      <c r="W37" s="24">
        <f t="shared" si="2"/>
        <v>0</v>
      </c>
      <c r="X37" s="24">
        <f t="shared" si="3"/>
        <v>0</v>
      </c>
    </row>
    <row r="38" spans="1:24" x14ac:dyDescent="0.25">
      <c r="A38" s="9" t="s">
        <v>132</v>
      </c>
      <c r="B38" s="2" t="s">
        <v>33</v>
      </c>
      <c r="C38" s="23">
        <f>VLOOKUP(A38,'2012'!$A$2:$R$99,18,FALSE)</f>
        <v>-793214.58</v>
      </c>
      <c r="D38" s="23">
        <f>VLOOKUP(A38,'2013'!$A$2:$R$101,18,FALSE)</f>
        <v>-814681.03</v>
      </c>
      <c r="E38" s="19">
        <f>S38+X38</f>
        <v>-843782.93333333335</v>
      </c>
      <c r="F38" s="4">
        <v>0</v>
      </c>
      <c r="G38" s="4">
        <v>-70128.2</v>
      </c>
      <c r="H38" s="4">
        <v>-72561.039999999994</v>
      </c>
      <c r="I38" s="4">
        <v>-70834.02</v>
      </c>
      <c r="J38" s="4">
        <v>-67650.559999999998</v>
      </c>
      <c r="K38" s="4">
        <v>-69034.98</v>
      </c>
      <c r="L38" s="4">
        <v>-68550</v>
      </c>
      <c r="M38" s="4">
        <v>-70217.100000000006</v>
      </c>
      <c r="N38" s="4">
        <v>-73258.5</v>
      </c>
      <c r="O38" s="4">
        <v>-70602.8</v>
      </c>
      <c r="P38" s="4">
        <v>0</v>
      </c>
      <c r="Q38" s="4">
        <v>0</v>
      </c>
      <c r="R38" s="4">
        <v>0</v>
      </c>
      <c r="S38" s="4">
        <v>-632837.19999999995</v>
      </c>
      <c r="T38" s="2">
        <v>201409</v>
      </c>
      <c r="U38" s="16" t="s">
        <v>240</v>
      </c>
      <c r="V38" s="24">
        <f t="shared" si="1"/>
        <v>-632837.20000000007</v>
      </c>
      <c r="W38" s="24">
        <f t="shared" si="2"/>
        <v>-70315.244444444455</v>
      </c>
      <c r="X38" s="24">
        <f t="shared" si="3"/>
        <v>-210945.73333333337</v>
      </c>
    </row>
    <row r="39" spans="1:24" x14ac:dyDescent="0.25">
      <c r="A39" s="9" t="s">
        <v>133</v>
      </c>
      <c r="B39" s="2" t="s">
        <v>215</v>
      </c>
      <c r="C39" s="23">
        <f>VLOOKUP(A39,'2012'!$A$2:$R$99,18,FALSE)</f>
        <v>1985</v>
      </c>
      <c r="D39" s="23">
        <f>VLOOKUP(A39,'2013'!$A$2:$R$101,18,FALSE)</f>
        <v>0</v>
      </c>
      <c r="E39" s="19">
        <f t="shared" ref="E39:E102" si="4">S39+X39</f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2">
        <v>201409</v>
      </c>
      <c r="U39" s="16" t="s">
        <v>240</v>
      </c>
      <c r="V39" s="24">
        <f t="shared" si="1"/>
        <v>0</v>
      </c>
      <c r="W39" s="24">
        <f t="shared" si="2"/>
        <v>0</v>
      </c>
      <c r="X39" s="24">
        <f t="shared" si="3"/>
        <v>0</v>
      </c>
    </row>
    <row r="40" spans="1:24" x14ac:dyDescent="0.25">
      <c r="A40" s="9" t="s">
        <v>244</v>
      </c>
      <c r="B40" s="2" t="s">
        <v>246</v>
      </c>
      <c r="C40" s="23">
        <f>IFERROR(VLOOKUP(B40,'[3]2012'!$A$2:$R$91,18,FALSE),0)</f>
        <v>0</v>
      </c>
      <c r="D40" s="23">
        <f>IFERROR(VLOOKUP(C40,'[3]2012'!$A$2:$R$91,18,FALSE),0)</f>
        <v>0</v>
      </c>
      <c r="E40" s="19">
        <f t="shared" si="4"/>
        <v>-9280.2266666666674</v>
      </c>
      <c r="F40" s="4">
        <v>0</v>
      </c>
      <c r="G40" s="4">
        <v>0</v>
      </c>
      <c r="H40" s="4">
        <v>0</v>
      </c>
      <c r="I40" s="4">
        <v>0</v>
      </c>
      <c r="J40" s="4">
        <v>-3178.84</v>
      </c>
      <c r="K40" s="4">
        <v>-720</v>
      </c>
      <c r="L40" s="4">
        <v>-740</v>
      </c>
      <c r="M40" s="4">
        <v>-750</v>
      </c>
      <c r="N40" s="4">
        <v>-801.33</v>
      </c>
      <c r="O40" s="4">
        <v>-770</v>
      </c>
      <c r="P40" s="4">
        <v>0</v>
      </c>
      <c r="Q40" s="4">
        <v>0</v>
      </c>
      <c r="R40" s="4">
        <v>0</v>
      </c>
      <c r="S40" s="4">
        <v>-6960.17</v>
      </c>
      <c r="T40" s="2">
        <v>201409</v>
      </c>
      <c r="U40" s="16" t="s">
        <v>240</v>
      </c>
      <c r="V40" s="24">
        <f t="shared" si="1"/>
        <v>-6960.17</v>
      </c>
      <c r="W40" s="24">
        <f t="shared" si="2"/>
        <v>-773.35222222222228</v>
      </c>
      <c r="X40" s="24">
        <f t="shared" si="3"/>
        <v>-2320.0566666666668</v>
      </c>
    </row>
    <row r="41" spans="1:24" x14ac:dyDescent="0.25">
      <c r="A41" s="9" t="s">
        <v>134</v>
      </c>
      <c r="B41" s="2" t="s">
        <v>216</v>
      </c>
      <c r="C41" s="23">
        <f>VLOOKUP(A41,'2012'!$A$2:$R$99,18,FALSE)</f>
        <v>-39330</v>
      </c>
      <c r="D41" s="23">
        <f>VLOOKUP(A41,'2013'!$A$2:$R$101,18,FALSE)</f>
        <v>-37936.93</v>
      </c>
      <c r="E41" s="19">
        <f t="shared" si="4"/>
        <v>-40532</v>
      </c>
      <c r="F41" s="4">
        <v>0</v>
      </c>
      <c r="G41" s="4">
        <v>-3214.7</v>
      </c>
      <c r="H41" s="4">
        <v>-3454.96</v>
      </c>
      <c r="I41" s="4">
        <v>-3625.68</v>
      </c>
      <c r="J41" s="4">
        <v>-3235</v>
      </c>
      <c r="K41" s="4">
        <v>-3625</v>
      </c>
      <c r="L41" s="4">
        <v>-3096.67</v>
      </c>
      <c r="M41" s="4">
        <v>-3810.16</v>
      </c>
      <c r="N41" s="4">
        <v>-3168.43</v>
      </c>
      <c r="O41" s="4">
        <v>-3168.4</v>
      </c>
      <c r="P41" s="4">
        <v>0</v>
      </c>
      <c r="Q41" s="4">
        <v>0</v>
      </c>
      <c r="R41" s="4">
        <v>0</v>
      </c>
      <c r="S41" s="4">
        <v>-30399</v>
      </c>
      <c r="T41" s="2">
        <v>201409</v>
      </c>
      <c r="U41" s="16" t="s">
        <v>240</v>
      </c>
      <c r="V41" s="24">
        <f t="shared" si="1"/>
        <v>-30399.000000000004</v>
      </c>
      <c r="W41" s="24">
        <f t="shared" si="2"/>
        <v>-3377.666666666667</v>
      </c>
      <c r="X41" s="24">
        <f t="shared" si="3"/>
        <v>-10133</v>
      </c>
    </row>
    <row r="42" spans="1:24" x14ac:dyDescent="0.25">
      <c r="A42" s="9" t="s">
        <v>135</v>
      </c>
      <c r="B42" s="2" t="s">
        <v>34</v>
      </c>
      <c r="C42" s="23">
        <f>VLOOKUP(A42,'2012'!$A$2:$R$99,18,FALSE)</f>
        <v>13338.62</v>
      </c>
      <c r="D42" s="23">
        <f>VLOOKUP(A42,'2013'!$A$2:$R$101,18,FALSE)</f>
        <v>10434.66</v>
      </c>
      <c r="E42" s="19">
        <f t="shared" si="4"/>
        <v>13772</v>
      </c>
      <c r="F42" s="4">
        <v>0</v>
      </c>
      <c r="G42" s="4">
        <v>2101</v>
      </c>
      <c r="H42" s="4">
        <v>1310</v>
      </c>
      <c r="I42" s="4">
        <v>-192.64</v>
      </c>
      <c r="J42" s="4">
        <v>142</v>
      </c>
      <c r="K42" s="4">
        <v>0</v>
      </c>
      <c r="L42" s="4">
        <v>-3024.2</v>
      </c>
      <c r="M42" s="4">
        <v>2700</v>
      </c>
      <c r="N42" s="4">
        <v>4992.84</v>
      </c>
      <c r="O42" s="4">
        <v>2300</v>
      </c>
      <c r="P42" s="4">
        <v>0</v>
      </c>
      <c r="Q42" s="4">
        <v>0</v>
      </c>
      <c r="R42" s="4">
        <v>0</v>
      </c>
      <c r="S42" s="4">
        <v>10329</v>
      </c>
      <c r="T42" s="2">
        <v>201409</v>
      </c>
      <c r="U42" s="16" t="s">
        <v>240</v>
      </c>
      <c r="V42" s="24">
        <f t="shared" si="1"/>
        <v>10329</v>
      </c>
      <c r="W42" s="24">
        <f t="shared" si="2"/>
        <v>1147.6666666666667</v>
      </c>
      <c r="X42" s="24">
        <f t="shared" si="3"/>
        <v>3443</v>
      </c>
    </row>
    <row r="43" spans="1:24" x14ac:dyDescent="0.25">
      <c r="A43" s="9" t="s">
        <v>136</v>
      </c>
      <c r="B43" s="2" t="s">
        <v>35</v>
      </c>
      <c r="C43" s="23">
        <f>VLOOKUP(A43,'2012'!$A$2:$R$99,18,FALSE)</f>
        <v>-173.33</v>
      </c>
      <c r="D43" s="23">
        <f>VLOOKUP(A43,'2013'!$A$2:$R$101,18,FALSE)</f>
        <v>-242.74</v>
      </c>
      <c r="E43" s="19">
        <f t="shared" si="4"/>
        <v>-175.92000000000002</v>
      </c>
      <c r="F43" s="4">
        <v>0</v>
      </c>
      <c r="G43" s="4">
        <v>-19.46</v>
      </c>
      <c r="H43" s="4">
        <v>-15.19</v>
      </c>
      <c r="I43" s="4">
        <v>-16.13</v>
      </c>
      <c r="J43" s="4">
        <v>-12.69</v>
      </c>
      <c r="K43" s="4">
        <v>-12.96</v>
      </c>
      <c r="L43" s="4">
        <v>-13.61</v>
      </c>
      <c r="M43" s="4">
        <v>-13.86</v>
      </c>
      <c r="N43" s="4">
        <v>-13.2</v>
      </c>
      <c r="O43" s="4">
        <v>-14.84</v>
      </c>
      <c r="P43" s="4">
        <v>0</v>
      </c>
      <c r="Q43" s="4">
        <v>0</v>
      </c>
      <c r="R43" s="4">
        <v>0</v>
      </c>
      <c r="S43" s="4">
        <v>-131.94</v>
      </c>
      <c r="T43" s="2">
        <v>201409</v>
      </c>
      <c r="U43" s="16" t="s">
        <v>240</v>
      </c>
      <c r="V43" s="24">
        <f t="shared" si="1"/>
        <v>-131.94</v>
      </c>
      <c r="W43" s="24">
        <f t="shared" si="2"/>
        <v>-14.66</v>
      </c>
      <c r="X43" s="24">
        <f t="shared" si="3"/>
        <v>-43.980000000000004</v>
      </c>
    </row>
    <row r="44" spans="1:24" x14ac:dyDescent="0.25">
      <c r="A44" s="9" t="s">
        <v>137</v>
      </c>
      <c r="B44" s="2" t="s">
        <v>217</v>
      </c>
      <c r="C44" s="23">
        <f>VLOOKUP(A44,'2012'!$A$2:$R$99,18,FALSE)</f>
        <v>0</v>
      </c>
      <c r="D44" s="23">
        <f>VLOOKUP(A44,'2013'!$A$2:$R$101,18,FALSE)</f>
        <v>0</v>
      </c>
      <c r="E44" s="19">
        <f t="shared" si="4"/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2">
        <v>201409</v>
      </c>
      <c r="U44" s="16" t="s">
        <v>240</v>
      </c>
      <c r="V44" s="24">
        <f t="shared" si="1"/>
        <v>0</v>
      </c>
      <c r="W44" s="24">
        <f t="shared" si="2"/>
        <v>0</v>
      </c>
      <c r="X44" s="24">
        <f t="shared" si="3"/>
        <v>0</v>
      </c>
    </row>
    <row r="45" spans="1:24" x14ac:dyDescent="0.25">
      <c r="A45" s="9" t="s">
        <v>138</v>
      </c>
      <c r="B45" s="2" t="s">
        <v>36</v>
      </c>
      <c r="C45" s="23">
        <f>VLOOKUP(A45,'2012'!$A$2:$R$99,18,FALSE)</f>
        <v>-9418.9599999999991</v>
      </c>
      <c r="D45" s="23">
        <f>VLOOKUP(A45,'2013'!$A$2:$R$101,18,FALSE)</f>
        <v>-10287.709999999999</v>
      </c>
      <c r="E45" s="19">
        <f t="shared" si="4"/>
        <v>-10192.76</v>
      </c>
      <c r="F45" s="4">
        <v>0</v>
      </c>
      <c r="G45" s="4">
        <v>-886</v>
      </c>
      <c r="H45" s="4">
        <v>-1215.53</v>
      </c>
      <c r="I45" s="4">
        <v>-840.59</v>
      </c>
      <c r="J45" s="4">
        <v>-1018.45</v>
      </c>
      <c r="K45" s="4">
        <v>-797.24</v>
      </c>
      <c r="L45" s="4">
        <v>-891.64</v>
      </c>
      <c r="M45" s="4">
        <v>-645.37</v>
      </c>
      <c r="N45" s="4">
        <v>-778.11</v>
      </c>
      <c r="O45" s="4">
        <v>-571.64</v>
      </c>
      <c r="P45" s="4">
        <v>0</v>
      </c>
      <c r="Q45" s="4">
        <v>0</v>
      </c>
      <c r="R45" s="4">
        <v>0</v>
      </c>
      <c r="S45" s="4">
        <v>-7644.57</v>
      </c>
      <c r="T45" s="2">
        <v>201409</v>
      </c>
      <c r="U45" s="16" t="s">
        <v>240</v>
      </c>
      <c r="V45" s="24">
        <f t="shared" si="1"/>
        <v>-7644.57</v>
      </c>
      <c r="W45" s="24">
        <f t="shared" si="2"/>
        <v>-849.39666666666665</v>
      </c>
      <c r="X45" s="24">
        <f t="shared" si="3"/>
        <v>-2548.19</v>
      </c>
    </row>
    <row r="46" spans="1:24" x14ac:dyDescent="0.25">
      <c r="A46" s="9" t="s">
        <v>139</v>
      </c>
      <c r="B46" s="2" t="s">
        <v>37</v>
      </c>
      <c r="C46" s="23">
        <f>VLOOKUP(A46,'2012'!$A$2:$R$99,18,FALSE)</f>
        <v>-11289</v>
      </c>
      <c r="D46" s="23">
        <f>VLOOKUP(A46,'2013'!$A$2:$R$101,18,FALSE)</f>
        <v>-11200</v>
      </c>
      <c r="E46" s="19">
        <f t="shared" si="4"/>
        <v>-4466.666666666667</v>
      </c>
      <c r="F46" s="4">
        <v>0</v>
      </c>
      <c r="G46" s="4">
        <v>-675</v>
      </c>
      <c r="H46" s="4">
        <v>-455</v>
      </c>
      <c r="I46" s="4">
        <v>-240</v>
      </c>
      <c r="J46" s="4">
        <v>-120</v>
      </c>
      <c r="K46" s="4">
        <v>-330</v>
      </c>
      <c r="L46" s="4">
        <v>-340</v>
      </c>
      <c r="M46" s="4">
        <v>-480</v>
      </c>
      <c r="N46" s="4">
        <v>-525</v>
      </c>
      <c r="O46" s="4">
        <v>-185</v>
      </c>
      <c r="P46" s="4">
        <v>0</v>
      </c>
      <c r="Q46" s="4">
        <v>0</v>
      </c>
      <c r="R46" s="4">
        <v>0</v>
      </c>
      <c r="S46" s="4">
        <v>-3350</v>
      </c>
      <c r="T46" s="2">
        <v>201409</v>
      </c>
      <c r="U46" s="16" t="s">
        <v>240</v>
      </c>
      <c r="V46" s="24">
        <f t="shared" si="1"/>
        <v>-3350</v>
      </c>
      <c r="W46" s="24">
        <f t="shared" si="2"/>
        <v>-372.22222222222223</v>
      </c>
      <c r="X46" s="24">
        <f t="shared" si="3"/>
        <v>-1116.6666666666667</v>
      </c>
    </row>
    <row r="47" spans="1:24" x14ac:dyDescent="0.25">
      <c r="A47" s="9" t="s">
        <v>140</v>
      </c>
      <c r="B47" s="2" t="s">
        <v>218</v>
      </c>
      <c r="C47" s="23">
        <f>VLOOKUP(A47,'2012'!$A$2:$R$99,18,FALSE)</f>
        <v>-11380.49</v>
      </c>
      <c r="D47" s="23">
        <f>VLOOKUP(A47,'2013'!$A$2:$R$101,18,FALSE)</f>
        <v>-4980</v>
      </c>
      <c r="E47" s="19">
        <f t="shared" si="4"/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2">
        <v>201409</v>
      </c>
      <c r="U47" s="16" t="s">
        <v>240</v>
      </c>
      <c r="V47" s="24">
        <f t="shared" si="1"/>
        <v>0</v>
      </c>
      <c r="W47" s="24">
        <f t="shared" si="2"/>
        <v>0</v>
      </c>
      <c r="X47" s="24">
        <f t="shared" si="3"/>
        <v>0</v>
      </c>
    </row>
    <row r="48" spans="1:24" x14ac:dyDescent="0.25">
      <c r="A48" s="9" t="s">
        <v>141</v>
      </c>
      <c r="B48" s="2" t="s">
        <v>219</v>
      </c>
      <c r="C48" s="23">
        <f>VLOOKUP(A48,'2012'!$A$2:$R$99,18,FALSE)</f>
        <v>-13576.19</v>
      </c>
      <c r="D48" s="23">
        <f>VLOOKUP(A48,'2013'!$A$2:$R$101,18,FALSE)</f>
        <v>-25327.71</v>
      </c>
      <c r="E48" s="19">
        <f t="shared" si="4"/>
        <v>-37741.200000000004</v>
      </c>
      <c r="F48" s="4">
        <v>0</v>
      </c>
      <c r="G48" s="4">
        <v>-1180.6199999999999</v>
      </c>
      <c r="H48" s="4">
        <v>-398.08</v>
      </c>
      <c r="I48" s="4">
        <v>-259.17</v>
      </c>
      <c r="J48" s="4">
        <v>-1238.92</v>
      </c>
      <c r="K48" s="4">
        <v>-536.04</v>
      </c>
      <c r="L48" s="4">
        <v>-1051.8499999999999</v>
      </c>
      <c r="M48" s="4">
        <v>-20933.32</v>
      </c>
      <c r="N48" s="4">
        <v>-1956</v>
      </c>
      <c r="O48" s="4">
        <v>-751.9</v>
      </c>
      <c r="P48" s="4">
        <v>0</v>
      </c>
      <c r="Q48" s="4">
        <v>0</v>
      </c>
      <c r="R48" s="4">
        <v>0</v>
      </c>
      <c r="S48" s="4">
        <v>-28305.9</v>
      </c>
      <c r="T48" s="2">
        <v>201409</v>
      </c>
      <c r="U48" s="16" t="s">
        <v>240</v>
      </c>
      <c r="V48" s="24">
        <f t="shared" si="1"/>
        <v>-28305.9</v>
      </c>
      <c r="W48" s="24">
        <f t="shared" si="2"/>
        <v>-3145.1000000000004</v>
      </c>
      <c r="X48" s="24">
        <f t="shared" si="3"/>
        <v>-9435.3000000000011</v>
      </c>
    </row>
    <row r="49" spans="1:24" x14ac:dyDescent="0.25">
      <c r="A49" s="9" t="s">
        <v>142</v>
      </c>
      <c r="B49" s="2" t="s">
        <v>220</v>
      </c>
      <c r="C49" s="23">
        <f>VLOOKUP(A49,'2012'!$A$2:$R$99,18,FALSE)</f>
        <v>0</v>
      </c>
      <c r="D49" s="23">
        <f>VLOOKUP(A49,'2013'!$A$2:$R$101,18,FALSE)</f>
        <v>0</v>
      </c>
      <c r="E49" s="19">
        <f t="shared" si="4"/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2">
        <v>201409</v>
      </c>
      <c r="U49" s="16" t="s">
        <v>240</v>
      </c>
      <c r="V49" s="24">
        <f t="shared" si="1"/>
        <v>0</v>
      </c>
      <c r="W49" s="24">
        <f t="shared" si="2"/>
        <v>0</v>
      </c>
      <c r="X49" s="24">
        <f t="shared" si="3"/>
        <v>0</v>
      </c>
    </row>
    <row r="50" spans="1:24" x14ac:dyDescent="0.25">
      <c r="A50" s="9" t="s">
        <v>143</v>
      </c>
      <c r="B50" s="2" t="s">
        <v>38</v>
      </c>
      <c r="C50" s="23">
        <f>VLOOKUP(A50,'2012'!$A$2:$R$99,18,FALSE)</f>
        <v>6324.69</v>
      </c>
      <c r="D50" s="23">
        <f>VLOOKUP(A50,'2013'!$A$2:$R$101,18,FALSE)</f>
        <v>3697</v>
      </c>
      <c r="E50" s="19">
        <f t="shared" si="4"/>
        <v>2261.3333333333335</v>
      </c>
      <c r="F50" s="4">
        <v>0</v>
      </c>
      <c r="G50" s="4">
        <v>818</v>
      </c>
      <c r="H50" s="4">
        <v>0</v>
      </c>
      <c r="I50" s="4">
        <v>0</v>
      </c>
      <c r="J50" s="4">
        <v>0</v>
      </c>
      <c r="K50" s="4">
        <v>409</v>
      </c>
      <c r="L50" s="4">
        <v>0</v>
      </c>
      <c r="M50" s="4">
        <v>0</v>
      </c>
      <c r="N50" s="4">
        <v>469</v>
      </c>
      <c r="O50" s="4">
        <v>0</v>
      </c>
      <c r="P50" s="4">
        <v>0</v>
      </c>
      <c r="Q50" s="4">
        <v>0</v>
      </c>
      <c r="R50" s="4">
        <v>0</v>
      </c>
      <c r="S50" s="4">
        <v>1696</v>
      </c>
      <c r="T50" s="2">
        <v>201409</v>
      </c>
      <c r="U50" s="16" t="s">
        <v>240</v>
      </c>
      <c r="V50" s="24">
        <f t="shared" si="1"/>
        <v>1696</v>
      </c>
      <c r="W50" s="24">
        <f t="shared" si="2"/>
        <v>188.44444444444446</v>
      </c>
      <c r="X50" s="24">
        <f t="shared" si="3"/>
        <v>565.33333333333337</v>
      </c>
    </row>
    <row r="51" spans="1:24" x14ac:dyDescent="0.25">
      <c r="A51" s="9" t="s">
        <v>144</v>
      </c>
      <c r="B51" s="2" t="s">
        <v>39</v>
      </c>
      <c r="C51" s="23">
        <f>VLOOKUP(A51,'2012'!$A$2:$R$99,18,FALSE)</f>
        <v>0</v>
      </c>
      <c r="D51" s="23">
        <f>VLOOKUP(A51,'2013'!$A$2:$R$101,18,FALSE)</f>
        <v>0</v>
      </c>
      <c r="E51" s="19">
        <f t="shared" si="4"/>
        <v>21909.333333333336</v>
      </c>
      <c r="F51" s="4">
        <v>0</v>
      </c>
      <c r="G51" s="4">
        <v>0</v>
      </c>
      <c r="H51" s="4">
        <v>0</v>
      </c>
      <c r="I51" s="4">
        <v>4851</v>
      </c>
      <c r="J51" s="4">
        <v>1617</v>
      </c>
      <c r="K51" s="4">
        <v>2363</v>
      </c>
      <c r="L51" s="4">
        <v>1617</v>
      </c>
      <c r="M51" s="4">
        <v>2750</v>
      </c>
      <c r="N51" s="4">
        <v>1617</v>
      </c>
      <c r="O51" s="4">
        <v>1617</v>
      </c>
      <c r="P51" s="4">
        <v>0</v>
      </c>
      <c r="Q51" s="4">
        <v>0</v>
      </c>
      <c r="R51" s="4">
        <v>0</v>
      </c>
      <c r="S51" s="4">
        <v>16432</v>
      </c>
      <c r="T51" s="2">
        <v>201409</v>
      </c>
      <c r="U51" s="16" t="s">
        <v>240</v>
      </c>
      <c r="V51" s="24">
        <f t="shared" si="1"/>
        <v>16432</v>
      </c>
      <c r="W51" s="24">
        <f t="shared" si="2"/>
        <v>1825.7777777777778</v>
      </c>
      <c r="X51" s="24">
        <f t="shared" si="3"/>
        <v>5477.3333333333339</v>
      </c>
    </row>
    <row r="52" spans="1:24" x14ac:dyDescent="0.25">
      <c r="A52" s="9" t="s">
        <v>145</v>
      </c>
      <c r="B52" s="2" t="s">
        <v>40</v>
      </c>
      <c r="C52" s="23">
        <f>VLOOKUP(A52,'2012'!$A$2:$R$99,18,FALSE)</f>
        <v>1055.45</v>
      </c>
      <c r="D52" s="23">
        <f>VLOOKUP(A52,'2013'!$A$2:$R$101,18,FALSE)</f>
        <v>1321.24</v>
      </c>
      <c r="E52" s="19">
        <f t="shared" si="4"/>
        <v>1009.3333333333334</v>
      </c>
      <c r="F52" s="4">
        <v>0</v>
      </c>
      <c r="G52" s="4">
        <v>0</v>
      </c>
      <c r="H52" s="4">
        <v>0</v>
      </c>
      <c r="I52" s="4">
        <v>591.28</v>
      </c>
      <c r="J52" s="4">
        <v>55.34</v>
      </c>
      <c r="K52" s="4">
        <v>0</v>
      </c>
      <c r="L52" s="4">
        <v>0</v>
      </c>
      <c r="M52" s="4">
        <v>0</v>
      </c>
      <c r="N52" s="4">
        <v>110.38</v>
      </c>
      <c r="O52" s="4">
        <v>0</v>
      </c>
      <c r="P52" s="4">
        <v>0</v>
      </c>
      <c r="Q52" s="4">
        <v>0</v>
      </c>
      <c r="R52" s="4">
        <v>0</v>
      </c>
      <c r="S52" s="4">
        <v>757</v>
      </c>
      <c r="T52" s="2">
        <v>201409</v>
      </c>
      <c r="U52" s="16" t="s">
        <v>240</v>
      </c>
      <c r="V52" s="24">
        <f t="shared" si="1"/>
        <v>757</v>
      </c>
      <c r="W52" s="24">
        <f t="shared" si="2"/>
        <v>84.111111111111114</v>
      </c>
      <c r="X52" s="24">
        <f t="shared" si="3"/>
        <v>252.33333333333334</v>
      </c>
    </row>
    <row r="53" spans="1:24" x14ac:dyDescent="0.25">
      <c r="A53" s="9" t="s">
        <v>146</v>
      </c>
      <c r="B53" s="2" t="s">
        <v>41</v>
      </c>
      <c r="C53" s="23">
        <f>VLOOKUP(A53,'2012'!$A$2:$R$99,18,FALSE)</f>
        <v>300.58999999999997</v>
      </c>
      <c r="D53" s="23">
        <f>VLOOKUP(A53,'2013'!$A$2:$R$101,18,FALSE)</f>
        <v>274.14</v>
      </c>
      <c r="E53" s="19">
        <f t="shared" si="4"/>
        <v>317.29333333333335</v>
      </c>
      <c r="F53" s="4">
        <v>0</v>
      </c>
      <c r="G53" s="4">
        <v>26.51</v>
      </c>
      <c r="H53" s="4">
        <v>20.51</v>
      </c>
      <c r="I53" s="4">
        <v>28.41</v>
      </c>
      <c r="J53" s="4">
        <v>27.13</v>
      </c>
      <c r="K53" s="4">
        <v>27.08</v>
      </c>
      <c r="L53" s="4">
        <v>26.4</v>
      </c>
      <c r="M53" s="4">
        <v>22.61</v>
      </c>
      <c r="N53" s="4">
        <v>34.299999999999997</v>
      </c>
      <c r="O53" s="4">
        <v>25.02</v>
      </c>
      <c r="P53" s="4">
        <v>0</v>
      </c>
      <c r="Q53" s="4">
        <v>0</v>
      </c>
      <c r="R53" s="4">
        <v>0</v>
      </c>
      <c r="S53" s="4">
        <v>237.97</v>
      </c>
      <c r="T53" s="2">
        <v>201409</v>
      </c>
      <c r="U53" s="16" t="s">
        <v>240</v>
      </c>
      <c r="V53" s="24">
        <f t="shared" si="1"/>
        <v>237.97</v>
      </c>
      <c r="W53" s="24">
        <f t="shared" si="2"/>
        <v>26.441111111111113</v>
      </c>
      <c r="X53" s="24">
        <f t="shared" si="3"/>
        <v>79.323333333333338</v>
      </c>
    </row>
    <row r="54" spans="1:24" x14ac:dyDescent="0.25">
      <c r="A54" s="9" t="s">
        <v>245</v>
      </c>
      <c r="B54" s="2" t="s">
        <v>72</v>
      </c>
      <c r="C54" s="23">
        <f>IFERROR(VLOOKUP(B54,'[3]2012'!$A$2:$R$91,18,FALSE),0)</f>
        <v>0</v>
      </c>
      <c r="D54" s="23">
        <f>IFERROR(VLOOKUP(C54,'[3]2012'!$A$2:$R$91,18,FALSE),0)</f>
        <v>0</v>
      </c>
      <c r="E54" s="19">
        <f t="shared" si="4"/>
        <v>1140.0666666666666</v>
      </c>
      <c r="F54" s="4">
        <v>0</v>
      </c>
      <c r="G54" s="4">
        <v>0</v>
      </c>
      <c r="H54" s="4">
        <v>240.35</v>
      </c>
      <c r="I54" s="4">
        <v>0</v>
      </c>
      <c r="J54" s="4">
        <v>61.55</v>
      </c>
      <c r="K54" s="4">
        <v>84.55</v>
      </c>
      <c r="L54" s="4">
        <v>159.1</v>
      </c>
      <c r="M54" s="4">
        <v>39.85</v>
      </c>
      <c r="N54" s="4">
        <v>269.64999999999998</v>
      </c>
      <c r="O54" s="4">
        <v>0</v>
      </c>
      <c r="P54" s="4">
        <v>0</v>
      </c>
      <c r="Q54" s="4">
        <v>0</v>
      </c>
      <c r="R54" s="4">
        <v>0</v>
      </c>
      <c r="S54" s="4">
        <v>855.05</v>
      </c>
      <c r="T54" s="2">
        <v>201409</v>
      </c>
      <c r="U54" s="16" t="s">
        <v>240</v>
      </c>
      <c r="V54" s="24">
        <f t="shared" si="1"/>
        <v>855.05</v>
      </c>
      <c r="W54" s="24">
        <f t="shared" si="2"/>
        <v>95.005555555555546</v>
      </c>
      <c r="X54" s="24">
        <f t="shared" si="3"/>
        <v>285.01666666666665</v>
      </c>
    </row>
    <row r="55" spans="1:24" x14ac:dyDescent="0.25">
      <c r="A55" s="9" t="s">
        <v>147</v>
      </c>
      <c r="B55" s="2" t="s">
        <v>221</v>
      </c>
      <c r="C55" s="23">
        <f>VLOOKUP(A55,'2012'!$A$2:$R$99,18,FALSE)</f>
        <v>41575.81</v>
      </c>
      <c r="D55" s="23">
        <f>VLOOKUP(A55,'2013'!$A$2:$R$101,18,FALSE)</f>
        <v>41612.080000000002</v>
      </c>
      <c r="E55" s="19">
        <f t="shared" si="4"/>
        <v>44659.799999999996</v>
      </c>
      <c r="F55" s="4">
        <v>0</v>
      </c>
      <c r="G55" s="4">
        <v>3538.45</v>
      </c>
      <c r="H55" s="4">
        <v>3666</v>
      </c>
      <c r="I55" s="4">
        <v>3581.4</v>
      </c>
      <c r="J55" s="4">
        <v>3653.2</v>
      </c>
      <c r="K55" s="4">
        <v>3570.9</v>
      </c>
      <c r="L55" s="4">
        <v>3480.1</v>
      </c>
      <c r="M55" s="4">
        <v>4818.1499999999996</v>
      </c>
      <c r="N55" s="4">
        <v>3616.25</v>
      </c>
      <c r="O55" s="4">
        <v>3570.4</v>
      </c>
      <c r="P55" s="4">
        <v>0</v>
      </c>
      <c r="Q55" s="4">
        <v>0</v>
      </c>
      <c r="R55" s="4">
        <v>0</v>
      </c>
      <c r="S55" s="4">
        <v>33494.85</v>
      </c>
      <c r="T55" s="2">
        <v>201409</v>
      </c>
      <c r="U55" s="16" t="s">
        <v>240</v>
      </c>
      <c r="V55" s="24">
        <f t="shared" si="1"/>
        <v>33494.85</v>
      </c>
      <c r="W55" s="24">
        <f t="shared" si="2"/>
        <v>3721.6499999999996</v>
      </c>
      <c r="X55" s="24">
        <f t="shared" si="3"/>
        <v>11164.949999999999</v>
      </c>
    </row>
    <row r="56" spans="1:24" x14ac:dyDescent="0.25">
      <c r="A56" s="9" t="s">
        <v>148</v>
      </c>
      <c r="B56" s="2" t="s">
        <v>222</v>
      </c>
      <c r="C56" s="23">
        <f>VLOOKUP(A56,'2012'!$A$2:$R$99,18,FALSE)</f>
        <v>15449.3</v>
      </c>
      <c r="D56" s="23">
        <f>VLOOKUP(A56,'2013'!$A$2:$R$101,18,FALSE)</f>
        <v>22634.78</v>
      </c>
      <c r="E56" s="19">
        <f t="shared" si="4"/>
        <v>30922.666666666664</v>
      </c>
      <c r="F56" s="4">
        <v>0</v>
      </c>
      <c r="G56" s="4">
        <v>1500</v>
      </c>
      <c r="H56" s="4">
        <v>1500</v>
      </c>
      <c r="I56" s="4">
        <v>1500</v>
      </c>
      <c r="J56" s="4">
        <v>3000</v>
      </c>
      <c r="K56" s="4">
        <v>3692</v>
      </c>
      <c r="L56" s="4">
        <v>3000</v>
      </c>
      <c r="M56" s="4">
        <v>3000</v>
      </c>
      <c r="N56" s="4">
        <v>3000</v>
      </c>
      <c r="O56" s="4">
        <v>3000</v>
      </c>
      <c r="P56" s="4">
        <v>0</v>
      </c>
      <c r="Q56" s="4">
        <v>0</v>
      </c>
      <c r="R56" s="4">
        <v>0</v>
      </c>
      <c r="S56" s="4">
        <v>23192</v>
      </c>
      <c r="T56" s="2">
        <v>201409</v>
      </c>
      <c r="U56" s="16" t="s">
        <v>240</v>
      </c>
      <c r="V56" s="24">
        <f t="shared" si="1"/>
        <v>23192</v>
      </c>
      <c r="W56" s="24">
        <f t="shared" si="2"/>
        <v>2576.8888888888887</v>
      </c>
      <c r="X56" s="24">
        <f t="shared" si="3"/>
        <v>7730.6666666666661</v>
      </c>
    </row>
    <row r="57" spans="1:24" x14ac:dyDescent="0.25">
      <c r="A57" s="9" t="s">
        <v>149</v>
      </c>
      <c r="B57" s="2" t="s">
        <v>223</v>
      </c>
      <c r="C57" s="23">
        <f>VLOOKUP(A57,'2012'!$A$2:$R$99,18,FALSE)</f>
        <v>4892.3500000000004</v>
      </c>
      <c r="D57" s="23">
        <f>VLOOKUP(A57,'2013'!$A$2:$R$101,18,FALSE)</f>
        <v>194.56</v>
      </c>
      <c r="E57" s="19">
        <f t="shared" si="4"/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-305</v>
      </c>
      <c r="L57" s="4">
        <v>245</v>
      </c>
      <c r="M57" s="4">
        <v>0</v>
      </c>
      <c r="N57" s="4">
        <v>60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2">
        <v>201409</v>
      </c>
      <c r="U57" s="16" t="s">
        <v>240</v>
      </c>
      <c r="V57" s="24">
        <f t="shared" si="1"/>
        <v>0</v>
      </c>
      <c r="W57" s="24">
        <f t="shared" si="2"/>
        <v>0</v>
      </c>
      <c r="X57" s="24">
        <f t="shared" si="3"/>
        <v>0</v>
      </c>
    </row>
    <row r="58" spans="1:24" x14ac:dyDescent="0.25">
      <c r="A58" s="9" t="s">
        <v>150</v>
      </c>
      <c r="B58" s="2" t="s">
        <v>43</v>
      </c>
      <c r="C58" s="23">
        <f>VLOOKUP(A58,'2012'!$A$2:$R$99,18,FALSE)</f>
        <v>0</v>
      </c>
      <c r="D58" s="23">
        <f>VLOOKUP(A58,'2013'!$A$2:$R$101,18,FALSE)</f>
        <v>0</v>
      </c>
      <c r="E58" s="19">
        <f t="shared" si="4"/>
        <v>2569.6799999999998</v>
      </c>
      <c r="F58" s="4">
        <v>0</v>
      </c>
      <c r="G58" s="4">
        <v>0</v>
      </c>
      <c r="H58" s="4">
        <v>0</v>
      </c>
      <c r="I58" s="4">
        <v>83.61</v>
      </c>
      <c r="J58" s="4">
        <v>995.5</v>
      </c>
      <c r="K58" s="4">
        <v>101.23</v>
      </c>
      <c r="L58" s="4">
        <v>474.47</v>
      </c>
      <c r="M58" s="4">
        <v>223.73</v>
      </c>
      <c r="N58" s="4">
        <v>0</v>
      </c>
      <c r="O58" s="4">
        <v>48.72</v>
      </c>
      <c r="P58" s="4">
        <v>0</v>
      </c>
      <c r="Q58" s="4">
        <v>0</v>
      </c>
      <c r="R58" s="4">
        <v>0</v>
      </c>
      <c r="S58" s="4">
        <v>1927.26</v>
      </c>
      <c r="T58" s="2">
        <v>201409</v>
      </c>
      <c r="U58" s="16" t="s">
        <v>240</v>
      </c>
      <c r="V58" s="24">
        <f t="shared" si="1"/>
        <v>1927.26</v>
      </c>
      <c r="W58" s="24">
        <f t="shared" si="2"/>
        <v>214.14</v>
      </c>
      <c r="X58" s="24">
        <f t="shared" si="3"/>
        <v>642.41999999999996</v>
      </c>
    </row>
    <row r="59" spans="1:24" x14ac:dyDescent="0.25">
      <c r="A59" s="9" t="s">
        <v>151</v>
      </c>
      <c r="B59" s="2" t="s">
        <v>44</v>
      </c>
      <c r="C59" s="23">
        <f>VLOOKUP(A59,'2012'!$A$2:$R$99,18,FALSE)</f>
        <v>6667.77</v>
      </c>
      <c r="D59" s="23">
        <f>VLOOKUP(A59,'2013'!$A$2:$R$101,18,FALSE)</f>
        <v>7062.05</v>
      </c>
      <c r="E59" s="19">
        <f t="shared" si="4"/>
        <v>7835.24</v>
      </c>
      <c r="F59" s="4">
        <v>0</v>
      </c>
      <c r="G59" s="4">
        <v>530.62</v>
      </c>
      <c r="H59" s="4">
        <v>689.98</v>
      </c>
      <c r="I59" s="4">
        <v>605.79999999999995</v>
      </c>
      <c r="J59" s="4">
        <v>613.78</v>
      </c>
      <c r="K59" s="4">
        <v>1040.9100000000001</v>
      </c>
      <c r="L59" s="4">
        <v>421.41</v>
      </c>
      <c r="M59" s="4">
        <v>620.48</v>
      </c>
      <c r="N59" s="4">
        <v>702.66</v>
      </c>
      <c r="O59" s="4">
        <v>650.79</v>
      </c>
      <c r="P59" s="4">
        <v>0</v>
      </c>
      <c r="Q59" s="4">
        <v>0</v>
      </c>
      <c r="R59" s="4">
        <v>0</v>
      </c>
      <c r="S59" s="4">
        <v>5876.43</v>
      </c>
      <c r="T59" s="2">
        <v>201409</v>
      </c>
      <c r="U59" s="16" t="s">
        <v>240</v>
      </c>
      <c r="V59" s="24">
        <f t="shared" si="1"/>
        <v>5876.4299999999994</v>
      </c>
      <c r="W59" s="24">
        <f t="shared" si="2"/>
        <v>652.93666666666661</v>
      </c>
      <c r="X59" s="24">
        <f t="shared" si="3"/>
        <v>1958.81</v>
      </c>
    </row>
    <row r="60" spans="1:24" x14ac:dyDescent="0.25">
      <c r="A60" s="9" t="s">
        <v>152</v>
      </c>
      <c r="B60" s="2" t="s">
        <v>224</v>
      </c>
      <c r="C60" s="23">
        <f>VLOOKUP(A60,'2012'!$A$2:$R$99,18,FALSE)</f>
        <v>849.64</v>
      </c>
      <c r="D60" s="23">
        <f>VLOOKUP(A60,'2013'!$A$2:$R$101,18,FALSE)</f>
        <v>947.59</v>
      </c>
      <c r="E60" s="19">
        <f t="shared" si="4"/>
        <v>882.2</v>
      </c>
      <c r="F60" s="4">
        <v>0</v>
      </c>
      <c r="G60" s="4">
        <v>70.95</v>
      </c>
      <c r="H60" s="4">
        <v>70.95</v>
      </c>
      <c r="I60" s="4">
        <v>70.95</v>
      </c>
      <c r="J60" s="4">
        <v>70.95</v>
      </c>
      <c r="K60" s="4">
        <v>75.900000000000006</v>
      </c>
      <c r="L60" s="4">
        <v>75.900000000000006</v>
      </c>
      <c r="M60" s="4">
        <v>70.95</v>
      </c>
      <c r="N60" s="4">
        <v>77.55</v>
      </c>
      <c r="O60" s="4">
        <v>77.55</v>
      </c>
      <c r="P60" s="4">
        <v>0</v>
      </c>
      <c r="Q60" s="4">
        <v>0</v>
      </c>
      <c r="R60" s="4">
        <v>0</v>
      </c>
      <c r="S60" s="4">
        <v>661.65</v>
      </c>
      <c r="T60" s="2">
        <v>201409</v>
      </c>
      <c r="U60" s="16" t="s">
        <v>240</v>
      </c>
      <c r="V60" s="24">
        <f t="shared" si="1"/>
        <v>661.65</v>
      </c>
      <c r="W60" s="24">
        <f t="shared" si="2"/>
        <v>73.516666666666666</v>
      </c>
      <c r="X60" s="24">
        <f t="shared" si="3"/>
        <v>220.55</v>
      </c>
    </row>
    <row r="61" spans="1:24" x14ac:dyDescent="0.25">
      <c r="A61" s="9" t="s">
        <v>153</v>
      </c>
      <c r="B61" s="2" t="s">
        <v>45</v>
      </c>
      <c r="C61" s="23">
        <f>VLOOKUP(A61,'2012'!$A$2:$R$99,18,FALSE)</f>
        <v>3781.8</v>
      </c>
      <c r="D61" s="23">
        <f>VLOOKUP(A61,'2013'!$A$2:$R$101,18,FALSE)</f>
        <v>2326.2600000000002</v>
      </c>
      <c r="E61" s="19">
        <f t="shared" si="4"/>
        <v>1915.4533333333334</v>
      </c>
      <c r="F61" s="4">
        <v>0</v>
      </c>
      <c r="G61" s="4">
        <v>206.22</v>
      </c>
      <c r="H61" s="4">
        <v>12.86</v>
      </c>
      <c r="I61" s="4">
        <v>399.38</v>
      </c>
      <c r="J61" s="4">
        <v>255.72</v>
      </c>
      <c r="K61" s="4">
        <v>164.22</v>
      </c>
      <c r="L61" s="4">
        <v>164.22</v>
      </c>
      <c r="M61" s="4">
        <v>166.95</v>
      </c>
      <c r="N61" s="4">
        <v>2.8</v>
      </c>
      <c r="O61" s="4">
        <v>64.22</v>
      </c>
      <c r="P61" s="4">
        <v>0</v>
      </c>
      <c r="Q61" s="4">
        <v>0</v>
      </c>
      <c r="R61" s="4">
        <v>0</v>
      </c>
      <c r="S61" s="4">
        <v>1436.59</v>
      </c>
      <c r="T61" s="2">
        <v>201409</v>
      </c>
      <c r="U61" s="16" t="s">
        <v>240</v>
      </c>
      <c r="V61" s="24">
        <f t="shared" si="1"/>
        <v>1436.5900000000001</v>
      </c>
      <c r="W61" s="24">
        <f t="shared" si="2"/>
        <v>159.62111111111113</v>
      </c>
      <c r="X61" s="24">
        <f t="shared" si="3"/>
        <v>478.8633333333334</v>
      </c>
    </row>
    <row r="62" spans="1:24" x14ac:dyDescent="0.25">
      <c r="A62" s="9" t="s">
        <v>154</v>
      </c>
      <c r="B62" s="2" t="s">
        <v>225</v>
      </c>
      <c r="C62" s="23">
        <f>VLOOKUP(A62,'2012'!$A$2:$R$99,18,FALSE)</f>
        <v>5349.62</v>
      </c>
      <c r="D62" s="23">
        <f>VLOOKUP(A62,'2013'!$A$2:$R$101,18,FALSE)</f>
        <v>8159.39</v>
      </c>
      <c r="E62" s="19">
        <f t="shared" si="4"/>
        <v>2248.12</v>
      </c>
      <c r="F62" s="4">
        <v>0</v>
      </c>
      <c r="G62" s="4">
        <v>481.6</v>
      </c>
      <c r="H62" s="4">
        <v>55.07</v>
      </c>
      <c r="I62" s="4">
        <v>54.2</v>
      </c>
      <c r="J62" s="4">
        <v>141.58000000000001</v>
      </c>
      <c r="K62" s="4">
        <v>35.82</v>
      </c>
      <c r="L62" s="4">
        <v>405.04</v>
      </c>
      <c r="M62" s="4">
        <v>427.82</v>
      </c>
      <c r="N62" s="4">
        <v>56.07</v>
      </c>
      <c r="O62" s="4">
        <v>28.89</v>
      </c>
      <c r="P62" s="4">
        <v>0</v>
      </c>
      <c r="Q62" s="4">
        <v>0</v>
      </c>
      <c r="R62" s="4">
        <v>0</v>
      </c>
      <c r="S62" s="4">
        <v>1686.09</v>
      </c>
      <c r="T62" s="2">
        <v>201409</v>
      </c>
      <c r="U62" s="16" t="s">
        <v>240</v>
      </c>
      <c r="V62" s="24">
        <f t="shared" si="1"/>
        <v>1686.0900000000001</v>
      </c>
      <c r="W62" s="24">
        <f t="shared" si="2"/>
        <v>187.34333333333336</v>
      </c>
      <c r="X62" s="24">
        <f t="shared" si="3"/>
        <v>562.03000000000009</v>
      </c>
    </row>
    <row r="63" spans="1:24" x14ac:dyDescent="0.25">
      <c r="A63" s="9" t="s">
        <v>155</v>
      </c>
      <c r="B63" s="2" t="s">
        <v>226</v>
      </c>
      <c r="C63" s="23">
        <f>VLOOKUP(A63,'2012'!$A$2:$R$99,18,FALSE)</f>
        <v>685.78</v>
      </c>
      <c r="D63" s="23">
        <f>VLOOKUP(A63,'2013'!$A$2:$R$101,18,FALSE)</f>
        <v>0</v>
      </c>
      <c r="E63" s="19">
        <f t="shared" si="4"/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2">
        <v>201409</v>
      </c>
      <c r="U63" s="16" t="s">
        <v>240</v>
      </c>
      <c r="V63" s="24">
        <f t="shared" si="1"/>
        <v>0</v>
      </c>
      <c r="W63" s="24">
        <f t="shared" si="2"/>
        <v>0</v>
      </c>
      <c r="X63" s="24">
        <f t="shared" si="3"/>
        <v>0</v>
      </c>
    </row>
    <row r="64" spans="1:24" x14ac:dyDescent="0.25">
      <c r="A64" s="9" t="s">
        <v>156</v>
      </c>
      <c r="B64" s="2" t="s">
        <v>46</v>
      </c>
      <c r="C64" s="23">
        <f>VLOOKUP(A64,'2012'!$A$2:$R$99,18,FALSE)</f>
        <v>1553.13</v>
      </c>
      <c r="D64" s="23">
        <f>VLOOKUP(A64,'2013'!$A$2:$R$101,18,FALSE)</f>
        <v>949.63</v>
      </c>
      <c r="E64" s="19">
        <f t="shared" si="4"/>
        <v>1389.8400000000001</v>
      </c>
      <c r="F64" s="4">
        <v>0</v>
      </c>
      <c r="G64" s="4">
        <v>0</v>
      </c>
      <c r="H64" s="4">
        <v>20.79</v>
      </c>
      <c r="I64" s="4">
        <v>73.94</v>
      </c>
      <c r="J64" s="4">
        <v>21.98</v>
      </c>
      <c r="K64" s="4">
        <v>42.56</v>
      </c>
      <c r="L64" s="4">
        <v>788.47</v>
      </c>
      <c r="M64" s="4">
        <v>21.84</v>
      </c>
      <c r="N64" s="4">
        <v>27.44</v>
      </c>
      <c r="O64" s="4">
        <v>45.36</v>
      </c>
      <c r="P64" s="4">
        <v>0</v>
      </c>
      <c r="Q64" s="4">
        <v>0</v>
      </c>
      <c r="R64" s="4">
        <v>0</v>
      </c>
      <c r="S64" s="4">
        <v>1042.3800000000001</v>
      </c>
      <c r="T64" s="2">
        <v>201409</v>
      </c>
      <c r="U64" s="16" t="s">
        <v>240</v>
      </c>
      <c r="V64" s="24">
        <f t="shared" si="1"/>
        <v>1042.3800000000001</v>
      </c>
      <c r="W64" s="24">
        <f t="shared" si="2"/>
        <v>115.82000000000001</v>
      </c>
      <c r="X64" s="24">
        <f t="shared" si="3"/>
        <v>347.46000000000004</v>
      </c>
    </row>
    <row r="65" spans="1:24" x14ac:dyDescent="0.25">
      <c r="A65" s="9" t="s">
        <v>157</v>
      </c>
      <c r="B65" s="2" t="s">
        <v>227</v>
      </c>
      <c r="C65" s="23">
        <f>VLOOKUP(A65,'2012'!$A$2:$R$99,18,FALSE)</f>
        <v>11030.19</v>
      </c>
      <c r="D65" s="23">
        <f>VLOOKUP(A65,'2013'!$A$2:$R$101,18,FALSE)</f>
        <v>11800.35</v>
      </c>
      <c r="E65" s="19">
        <f t="shared" si="4"/>
        <v>13246.133333333333</v>
      </c>
      <c r="F65" s="4">
        <v>0</v>
      </c>
      <c r="G65" s="4">
        <v>1274.6099999999999</v>
      </c>
      <c r="H65" s="4">
        <v>1080.0999999999999</v>
      </c>
      <c r="I65" s="4">
        <v>995.28</v>
      </c>
      <c r="J65" s="4">
        <v>1001.44</v>
      </c>
      <c r="K65" s="4">
        <v>1046.8699999999999</v>
      </c>
      <c r="L65" s="4">
        <v>920.11</v>
      </c>
      <c r="M65" s="4">
        <v>1316.72</v>
      </c>
      <c r="N65" s="4">
        <v>1178.3599999999999</v>
      </c>
      <c r="O65" s="4">
        <v>1121.1099999999999</v>
      </c>
      <c r="P65" s="4">
        <v>0</v>
      </c>
      <c r="Q65" s="4">
        <v>0</v>
      </c>
      <c r="R65" s="4">
        <v>0</v>
      </c>
      <c r="S65" s="4">
        <v>9934.6</v>
      </c>
      <c r="T65" s="2">
        <v>201409</v>
      </c>
      <c r="U65" s="16" t="s">
        <v>240</v>
      </c>
      <c r="V65" s="24">
        <f t="shared" si="1"/>
        <v>9934.6</v>
      </c>
      <c r="W65" s="24">
        <f t="shared" si="2"/>
        <v>1103.8444444444444</v>
      </c>
      <c r="X65" s="24">
        <f t="shared" si="3"/>
        <v>3311.5333333333333</v>
      </c>
    </row>
    <row r="66" spans="1:24" x14ac:dyDescent="0.25">
      <c r="A66" s="9" t="s">
        <v>158</v>
      </c>
      <c r="B66" s="2" t="s">
        <v>47</v>
      </c>
      <c r="C66" s="23">
        <f>VLOOKUP(A66,'2012'!$A$2:$R$99,18,FALSE)</f>
        <v>29767.82</v>
      </c>
      <c r="D66" s="23">
        <f>VLOOKUP(A66,'2013'!$A$2:$R$101,18,FALSE)</f>
        <v>29180.47</v>
      </c>
      <c r="E66" s="19">
        <f t="shared" si="4"/>
        <v>28656.440000000002</v>
      </c>
      <c r="F66" s="4">
        <v>0</v>
      </c>
      <c r="G66" s="4">
        <v>2216.4899999999998</v>
      </c>
      <c r="H66" s="4">
        <v>1945.14</v>
      </c>
      <c r="I66" s="4">
        <v>1938.6</v>
      </c>
      <c r="J66" s="4">
        <v>2017.08</v>
      </c>
      <c r="K66" s="4">
        <v>2278.6799999999998</v>
      </c>
      <c r="L66" s="4">
        <v>3364.32</v>
      </c>
      <c r="M66" s="4">
        <v>3070.02</v>
      </c>
      <c r="N66" s="4">
        <v>2481.42</v>
      </c>
      <c r="O66" s="4">
        <v>2180.58</v>
      </c>
      <c r="P66" s="4">
        <v>0</v>
      </c>
      <c r="Q66" s="4">
        <v>0</v>
      </c>
      <c r="R66" s="4">
        <v>0</v>
      </c>
      <c r="S66" s="4">
        <v>21492.33</v>
      </c>
      <c r="T66" s="2">
        <v>201409</v>
      </c>
      <c r="U66" s="16" t="s">
        <v>240</v>
      </c>
      <c r="V66" s="24">
        <f t="shared" si="1"/>
        <v>21492.33</v>
      </c>
      <c r="W66" s="24">
        <f t="shared" si="2"/>
        <v>2388.0366666666669</v>
      </c>
      <c r="X66" s="24">
        <f t="shared" si="3"/>
        <v>7164.1100000000006</v>
      </c>
    </row>
    <row r="67" spans="1:24" x14ac:dyDescent="0.25">
      <c r="A67" s="9" t="s">
        <v>159</v>
      </c>
      <c r="B67" s="2" t="s">
        <v>48</v>
      </c>
      <c r="C67" s="23">
        <f>VLOOKUP(A67,'2012'!$A$2:$R$99,18,FALSE)</f>
        <v>23028.62</v>
      </c>
      <c r="D67" s="23">
        <f>VLOOKUP(A67,'2013'!$A$2:$R$101,18,FALSE)</f>
        <v>29003.45</v>
      </c>
      <c r="E67" s="19">
        <f t="shared" si="4"/>
        <v>30511.173333333336</v>
      </c>
      <c r="F67" s="4">
        <v>0</v>
      </c>
      <c r="G67" s="4">
        <v>0</v>
      </c>
      <c r="H67" s="4">
        <v>5792.97</v>
      </c>
      <c r="I67" s="4">
        <v>4082.46</v>
      </c>
      <c r="J67" s="4">
        <v>4035.59</v>
      </c>
      <c r="K67" s="4">
        <v>2788.97</v>
      </c>
      <c r="L67" s="4">
        <v>2263.4699999999998</v>
      </c>
      <c r="M67" s="4">
        <v>1409.57</v>
      </c>
      <c r="N67" s="4">
        <v>1363.75</v>
      </c>
      <c r="O67" s="4">
        <v>1146.5999999999999</v>
      </c>
      <c r="P67" s="4">
        <v>0</v>
      </c>
      <c r="Q67" s="4">
        <v>0</v>
      </c>
      <c r="R67" s="4">
        <v>0</v>
      </c>
      <c r="S67" s="4">
        <v>22883.38</v>
      </c>
      <c r="T67" s="2">
        <v>201409</v>
      </c>
      <c r="U67" s="16" t="s">
        <v>240</v>
      </c>
      <c r="V67" s="24">
        <f t="shared" ref="V67:V103" si="5">SUM(G67:O67)</f>
        <v>22883.38</v>
      </c>
      <c r="W67" s="24">
        <f t="shared" ref="W67:W103" si="6">V67/9</f>
        <v>2542.597777777778</v>
      </c>
      <c r="X67" s="24">
        <f t="shared" si="3"/>
        <v>7627.793333333334</v>
      </c>
    </row>
    <row r="68" spans="1:24" x14ac:dyDescent="0.25">
      <c r="A68" s="9" t="s">
        <v>160</v>
      </c>
      <c r="B68" s="2" t="s">
        <v>49</v>
      </c>
      <c r="C68" s="23">
        <f>VLOOKUP(A68,'2012'!$A$2:$R$99,18,FALSE)</f>
        <v>12720</v>
      </c>
      <c r="D68" s="23">
        <f>VLOOKUP(A68,'2013'!$A$2:$R$101,18,FALSE)</f>
        <v>13992</v>
      </c>
      <c r="E68" s="19">
        <f t="shared" si="4"/>
        <v>22048</v>
      </c>
      <c r="F68" s="4">
        <v>0</v>
      </c>
      <c r="G68" s="4">
        <v>8268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8268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16536</v>
      </c>
      <c r="T68" s="2">
        <v>201409</v>
      </c>
      <c r="U68" s="16" t="s">
        <v>240</v>
      </c>
      <c r="V68" s="24">
        <f t="shared" si="5"/>
        <v>16536</v>
      </c>
      <c r="W68" s="24">
        <f t="shared" si="6"/>
        <v>1837.3333333333333</v>
      </c>
      <c r="X68" s="24">
        <f t="shared" ref="X68:X103" si="7">W68*$W$1</f>
        <v>5512</v>
      </c>
    </row>
    <row r="69" spans="1:24" x14ac:dyDescent="0.25">
      <c r="A69" s="9" t="s">
        <v>161</v>
      </c>
      <c r="B69" s="2" t="s">
        <v>50</v>
      </c>
      <c r="C69" s="23">
        <f>VLOOKUP(A69,'2012'!$A$2:$R$99,18,FALSE)</f>
        <v>192.95</v>
      </c>
      <c r="D69" s="23">
        <f>VLOOKUP(A69,'2013'!$A$2:$R$101,18,FALSE)</f>
        <v>496.08</v>
      </c>
      <c r="E69" s="19">
        <f t="shared" si="4"/>
        <v>71.12</v>
      </c>
      <c r="F69" s="4">
        <v>0</v>
      </c>
      <c r="G69" s="4">
        <v>0</v>
      </c>
      <c r="H69" s="4">
        <v>53.34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53.34</v>
      </c>
      <c r="T69" s="2">
        <v>201409</v>
      </c>
      <c r="U69" s="16" t="s">
        <v>240</v>
      </c>
      <c r="V69" s="24">
        <f t="shared" si="5"/>
        <v>53.34</v>
      </c>
      <c r="W69" s="24">
        <f t="shared" si="6"/>
        <v>5.9266666666666667</v>
      </c>
      <c r="X69" s="24">
        <f t="shared" si="7"/>
        <v>17.78</v>
      </c>
    </row>
    <row r="70" spans="1:24" x14ac:dyDescent="0.25">
      <c r="A70" s="9" t="s">
        <v>162</v>
      </c>
      <c r="B70" s="2" t="s">
        <v>51</v>
      </c>
      <c r="C70" s="23">
        <f>VLOOKUP(A70,'2012'!$A$2:$R$99,18,FALSE)</f>
        <v>24346.25</v>
      </c>
      <c r="D70" s="23">
        <f>VLOOKUP(A70,'2013'!$A$2:$R$101,18,FALSE)</f>
        <v>23453</v>
      </c>
      <c r="E70" s="19">
        <f t="shared" si="4"/>
        <v>29645.599999999999</v>
      </c>
      <c r="F70" s="4">
        <v>0</v>
      </c>
      <c r="G70" s="4">
        <v>2749.2</v>
      </c>
      <c r="H70" s="4">
        <v>1600</v>
      </c>
      <c r="I70" s="4">
        <v>1250</v>
      </c>
      <c r="J70" s="4">
        <v>2430</v>
      </c>
      <c r="K70" s="4">
        <v>2135</v>
      </c>
      <c r="L70" s="4">
        <v>2530</v>
      </c>
      <c r="M70" s="4">
        <v>3435</v>
      </c>
      <c r="N70" s="4">
        <v>3125</v>
      </c>
      <c r="O70" s="4">
        <v>2980</v>
      </c>
      <c r="P70" s="4">
        <v>0</v>
      </c>
      <c r="Q70" s="4">
        <v>0</v>
      </c>
      <c r="R70" s="4">
        <v>0</v>
      </c>
      <c r="S70" s="4">
        <v>22234.2</v>
      </c>
      <c r="T70" s="2">
        <v>201409</v>
      </c>
      <c r="U70" s="16" t="s">
        <v>240</v>
      </c>
      <c r="V70" s="24">
        <f t="shared" si="5"/>
        <v>22234.2</v>
      </c>
      <c r="W70" s="24">
        <f t="shared" si="6"/>
        <v>2470.4666666666667</v>
      </c>
      <c r="X70" s="24">
        <f t="shared" si="7"/>
        <v>7411.4</v>
      </c>
    </row>
    <row r="71" spans="1:24" x14ac:dyDescent="0.25">
      <c r="A71" s="9" t="s">
        <v>163</v>
      </c>
      <c r="B71" s="2" t="s">
        <v>52</v>
      </c>
      <c r="C71" s="23">
        <f>VLOOKUP(A71,'2012'!$A$2:$R$99,18,FALSE)</f>
        <v>1800</v>
      </c>
      <c r="D71" s="23">
        <f>VLOOKUP(A71,'2013'!$A$2:$R$101,18,FALSE)</f>
        <v>3105</v>
      </c>
      <c r="E71" s="19">
        <f t="shared" si="4"/>
        <v>4925.8666666666668</v>
      </c>
      <c r="F71" s="4">
        <v>0</v>
      </c>
      <c r="G71" s="4">
        <v>253</v>
      </c>
      <c r="H71" s="4">
        <v>0</v>
      </c>
      <c r="I71" s="4">
        <v>506</v>
      </c>
      <c r="J71" s="4">
        <v>253</v>
      </c>
      <c r="K71" s="4">
        <v>0</v>
      </c>
      <c r="L71" s="4">
        <v>506</v>
      </c>
      <c r="M71" s="4">
        <v>253</v>
      </c>
      <c r="N71" s="4">
        <v>1277</v>
      </c>
      <c r="O71" s="4">
        <v>646.4</v>
      </c>
      <c r="P71" s="4">
        <v>0</v>
      </c>
      <c r="Q71" s="4">
        <v>0</v>
      </c>
      <c r="R71" s="4">
        <v>0</v>
      </c>
      <c r="S71" s="4">
        <v>3694.4</v>
      </c>
      <c r="T71" s="2">
        <v>201409</v>
      </c>
      <c r="U71" s="16" t="s">
        <v>240</v>
      </c>
      <c r="V71" s="24">
        <f t="shared" si="5"/>
        <v>3694.4</v>
      </c>
      <c r="W71" s="24">
        <f t="shared" si="6"/>
        <v>410.48888888888888</v>
      </c>
      <c r="X71" s="24">
        <f t="shared" si="7"/>
        <v>1231.4666666666667</v>
      </c>
    </row>
    <row r="72" spans="1:24" x14ac:dyDescent="0.25">
      <c r="A72" s="9" t="s">
        <v>164</v>
      </c>
      <c r="B72" s="2" t="s">
        <v>53</v>
      </c>
      <c r="C72" s="23">
        <f>VLOOKUP(A72,'2012'!$A$2:$R$99,18,FALSE)</f>
        <v>9270.32</v>
      </c>
      <c r="D72" s="23">
        <f>VLOOKUP(A72,'2013'!$A$2:$R$101,18,FALSE)</f>
        <v>9579</v>
      </c>
      <c r="E72" s="19">
        <f t="shared" si="4"/>
        <v>8291.3333333333339</v>
      </c>
      <c r="F72" s="4">
        <v>0</v>
      </c>
      <c r="G72" s="4">
        <v>762</v>
      </c>
      <c r="H72" s="4">
        <v>889.5</v>
      </c>
      <c r="I72" s="4">
        <v>809.5</v>
      </c>
      <c r="J72" s="4">
        <v>764.5</v>
      </c>
      <c r="K72" s="4">
        <v>742</v>
      </c>
      <c r="L72" s="4">
        <v>742</v>
      </c>
      <c r="M72" s="4">
        <v>742</v>
      </c>
      <c r="N72" s="4">
        <v>767</v>
      </c>
      <c r="O72" s="4">
        <v>0</v>
      </c>
      <c r="P72" s="4">
        <v>0</v>
      </c>
      <c r="Q72" s="4">
        <v>0</v>
      </c>
      <c r="R72" s="4">
        <v>0</v>
      </c>
      <c r="S72" s="4">
        <v>6218.5</v>
      </c>
      <c r="T72" s="2">
        <v>201409</v>
      </c>
      <c r="U72" s="16" t="s">
        <v>240</v>
      </c>
      <c r="V72" s="24">
        <f t="shared" si="5"/>
        <v>6218.5</v>
      </c>
      <c r="W72" s="24">
        <f t="shared" si="6"/>
        <v>690.94444444444446</v>
      </c>
      <c r="X72" s="24">
        <f t="shared" si="7"/>
        <v>2072.8333333333335</v>
      </c>
    </row>
    <row r="73" spans="1:24" x14ac:dyDescent="0.25">
      <c r="A73" s="9" t="s">
        <v>165</v>
      </c>
      <c r="B73" s="2" t="s">
        <v>228</v>
      </c>
      <c r="C73" s="23">
        <f>VLOOKUP(A73,'2012'!$A$2:$R$99,18,FALSE)</f>
        <v>5549.16</v>
      </c>
      <c r="D73" s="23">
        <f>VLOOKUP(A73,'2013'!$A$2:$R$101,18,FALSE)</f>
        <v>480</v>
      </c>
      <c r="E73" s="19">
        <f t="shared" si="4"/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2">
        <v>201409</v>
      </c>
      <c r="U73" s="16" t="s">
        <v>240</v>
      </c>
      <c r="V73" s="24">
        <f t="shared" si="5"/>
        <v>0</v>
      </c>
      <c r="W73" s="24">
        <f t="shared" si="6"/>
        <v>0</v>
      </c>
      <c r="X73" s="24">
        <f t="shared" si="7"/>
        <v>0</v>
      </c>
    </row>
    <row r="74" spans="1:24" x14ac:dyDescent="0.25">
      <c r="A74" s="9" t="s">
        <v>241</v>
      </c>
      <c r="B74" s="2" t="s">
        <v>243</v>
      </c>
      <c r="C74" s="23">
        <f>IFERROR(VLOOKUP(B74,'[3]2012'!$A$2:$R$91,18,FALSE),0)</f>
        <v>0</v>
      </c>
      <c r="D74" s="23">
        <f>VLOOKUP(A74,'2013'!$A$2:$R$101,18,FALSE)</f>
        <v>572.47</v>
      </c>
      <c r="E74" s="19">
        <f t="shared" si="4"/>
        <v>964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313</v>
      </c>
      <c r="M74" s="4">
        <v>0</v>
      </c>
      <c r="N74" s="4">
        <v>410</v>
      </c>
      <c r="O74" s="4">
        <v>0</v>
      </c>
      <c r="P74" s="4">
        <v>0</v>
      </c>
      <c r="Q74" s="4">
        <v>0</v>
      </c>
      <c r="R74" s="4">
        <v>0</v>
      </c>
      <c r="S74" s="4">
        <v>723</v>
      </c>
      <c r="T74" s="2">
        <v>201409</v>
      </c>
      <c r="U74" s="16" t="s">
        <v>240</v>
      </c>
      <c r="V74" s="24">
        <f t="shared" si="5"/>
        <v>723</v>
      </c>
      <c r="W74" s="24">
        <f t="shared" si="6"/>
        <v>80.333333333333329</v>
      </c>
      <c r="X74" s="24">
        <f t="shared" si="7"/>
        <v>241</v>
      </c>
    </row>
    <row r="75" spans="1:24" x14ac:dyDescent="0.25">
      <c r="A75" s="9" t="s">
        <v>166</v>
      </c>
      <c r="B75" s="2" t="s">
        <v>54</v>
      </c>
      <c r="C75" s="23">
        <f>VLOOKUP(A75,'2012'!$A$2:$R$99,18,FALSE)</f>
        <v>10494.64</v>
      </c>
      <c r="D75" s="23">
        <f>VLOOKUP(A75,'2013'!$A$2:$R$101,18,FALSE)</f>
        <v>8473.2800000000007</v>
      </c>
      <c r="E75" s="19">
        <f t="shared" si="4"/>
        <v>15504</v>
      </c>
      <c r="F75" s="4">
        <v>0</v>
      </c>
      <c r="G75" s="4">
        <v>0</v>
      </c>
      <c r="H75" s="4">
        <v>0</v>
      </c>
      <c r="I75" s="4">
        <v>0</v>
      </c>
      <c r="J75" s="4">
        <v>602.25</v>
      </c>
      <c r="K75" s="4">
        <v>1814.5</v>
      </c>
      <c r="L75" s="4">
        <v>2812.25</v>
      </c>
      <c r="M75" s="4">
        <v>4182</v>
      </c>
      <c r="N75" s="4">
        <v>796</v>
      </c>
      <c r="O75" s="4">
        <v>1421</v>
      </c>
      <c r="P75" s="4">
        <v>0</v>
      </c>
      <c r="Q75" s="4">
        <v>0</v>
      </c>
      <c r="R75" s="4">
        <v>0</v>
      </c>
      <c r="S75" s="4">
        <v>11628</v>
      </c>
      <c r="T75" s="2">
        <v>201409</v>
      </c>
      <c r="U75" s="16" t="s">
        <v>240</v>
      </c>
      <c r="V75" s="24">
        <f t="shared" si="5"/>
        <v>11628</v>
      </c>
      <c r="W75" s="24">
        <f t="shared" si="6"/>
        <v>1292</v>
      </c>
      <c r="X75" s="24">
        <f t="shared" si="7"/>
        <v>3876</v>
      </c>
    </row>
    <row r="76" spans="1:24" x14ac:dyDescent="0.25">
      <c r="A76" s="9" t="s">
        <v>167</v>
      </c>
      <c r="B76" s="2" t="s">
        <v>229</v>
      </c>
      <c r="C76" s="23">
        <f>VLOOKUP(A76,'2012'!$A$2:$R$99,18,FALSE)</f>
        <v>138.75</v>
      </c>
      <c r="D76" s="23">
        <f>VLOOKUP(A76,'2013'!$A$2:$R$101,18,FALSE)</f>
        <v>5485.86</v>
      </c>
      <c r="E76" s="19">
        <f t="shared" si="4"/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2">
        <v>201409</v>
      </c>
      <c r="U76" s="16" t="s">
        <v>240</v>
      </c>
      <c r="V76" s="24">
        <f t="shared" si="5"/>
        <v>0</v>
      </c>
      <c r="W76" s="24">
        <f t="shared" si="6"/>
        <v>0</v>
      </c>
      <c r="X76" s="24">
        <f t="shared" si="7"/>
        <v>0</v>
      </c>
    </row>
    <row r="77" spans="1:24" x14ac:dyDescent="0.25">
      <c r="A77" s="9" t="s">
        <v>168</v>
      </c>
      <c r="B77" s="2" t="s">
        <v>230</v>
      </c>
      <c r="C77" s="23">
        <f>VLOOKUP(A77,'2012'!$A$2:$R$99,18,FALSE)</f>
        <v>39819.269999999997</v>
      </c>
      <c r="D77" s="23">
        <f>VLOOKUP(A77,'2013'!$A$2:$R$101,18,FALSE)</f>
        <v>47664.38</v>
      </c>
      <c r="E77" s="19">
        <f t="shared" si="4"/>
        <v>40010.373333333337</v>
      </c>
      <c r="F77" s="4">
        <v>0</v>
      </c>
      <c r="G77" s="4">
        <v>6.53</v>
      </c>
      <c r="H77" s="4">
        <v>2759.93</v>
      </c>
      <c r="I77" s="4">
        <v>2419.58</v>
      </c>
      <c r="J77" s="4">
        <v>4831.3</v>
      </c>
      <c r="K77" s="4">
        <v>1977.42</v>
      </c>
      <c r="L77" s="4">
        <v>6100.26</v>
      </c>
      <c r="M77" s="4">
        <v>3370.29</v>
      </c>
      <c r="N77" s="4">
        <v>5287.7</v>
      </c>
      <c r="O77" s="4">
        <v>3254.77</v>
      </c>
      <c r="P77" s="4">
        <v>0</v>
      </c>
      <c r="Q77" s="4">
        <v>0</v>
      </c>
      <c r="R77" s="4">
        <v>0</v>
      </c>
      <c r="S77" s="4">
        <v>30007.78</v>
      </c>
      <c r="T77" s="2">
        <v>201409</v>
      </c>
      <c r="U77" s="16" t="s">
        <v>240</v>
      </c>
      <c r="V77" s="24">
        <f t="shared" si="5"/>
        <v>30007.780000000002</v>
      </c>
      <c r="W77" s="24">
        <f t="shared" si="6"/>
        <v>3334.1977777777779</v>
      </c>
      <c r="X77" s="24">
        <f t="shared" si="7"/>
        <v>10002.593333333334</v>
      </c>
    </row>
    <row r="78" spans="1:24" x14ac:dyDescent="0.25">
      <c r="A78" s="9" t="s">
        <v>169</v>
      </c>
      <c r="B78" s="2" t="s">
        <v>55</v>
      </c>
      <c r="C78" s="23">
        <f>VLOOKUP(A78,'2012'!$A$2:$R$99,18,FALSE)</f>
        <v>35731.550000000003</v>
      </c>
      <c r="D78" s="23">
        <f>VLOOKUP(A78,'2013'!$A$2:$R$101,18,FALSE)</f>
        <v>38294.29</v>
      </c>
      <c r="E78" s="19">
        <f t="shared" si="4"/>
        <v>60673.173333333332</v>
      </c>
      <c r="F78" s="4">
        <v>0</v>
      </c>
      <c r="G78" s="4">
        <v>1571.25</v>
      </c>
      <c r="H78" s="4">
        <v>1747.5</v>
      </c>
      <c r="I78" s="4">
        <v>1199</v>
      </c>
      <c r="J78" s="4">
        <v>2280</v>
      </c>
      <c r="K78" s="4">
        <v>3420</v>
      </c>
      <c r="L78" s="4">
        <v>5866.75</v>
      </c>
      <c r="M78" s="4">
        <v>4065</v>
      </c>
      <c r="N78" s="4">
        <v>6086.81</v>
      </c>
      <c r="O78" s="4">
        <v>19268.57</v>
      </c>
      <c r="P78" s="4">
        <v>0</v>
      </c>
      <c r="Q78" s="4">
        <v>0</v>
      </c>
      <c r="R78" s="4">
        <v>0</v>
      </c>
      <c r="S78" s="4">
        <v>45504.88</v>
      </c>
      <c r="T78" s="2">
        <v>201409</v>
      </c>
      <c r="U78" s="16" t="s">
        <v>240</v>
      </c>
      <c r="V78" s="24">
        <f t="shared" si="5"/>
        <v>45504.880000000005</v>
      </c>
      <c r="W78" s="24">
        <f t="shared" si="6"/>
        <v>5056.097777777778</v>
      </c>
      <c r="X78" s="24">
        <f t="shared" si="7"/>
        <v>15168.293333333335</v>
      </c>
    </row>
    <row r="79" spans="1:24" x14ac:dyDescent="0.25">
      <c r="A79" s="9" t="s">
        <v>170</v>
      </c>
      <c r="B79" s="2" t="s">
        <v>228</v>
      </c>
      <c r="C79" s="23">
        <f>VLOOKUP(A79,'2012'!$A$2:$R$99,18,FALSE)</f>
        <v>0</v>
      </c>
      <c r="D79" s="23">
        <f>VLOOKUP(A79,'2013'!$A$2:$R$101,18,FALSE)</f>
        <v>5070</v>
      </c>
      <c r="E79" s="19">
        <f t="shared" si="4"/>
        <v>5685.5999999999995</v>
      </c>
      <c r="F79" s="4">
        <v>0</v>
      </c>
      <c r="G79" s="4">
        <v>0</v>
      </c>
      <c r="H79" s="4">
        <v>973.35</v>
      </c>
      <c r="I79" s="4">
        <v>463.5</v>
      </c>
      <c r="J79" s="4">
        <v>463.5</v>
      </c>
      <c r="K79" s="4">
        <v>478.95</v>
      </c>
      <c r="L79" s="4">
        <v>463.5</v>
      </c>
      <c r="M79" s="4">
        <v>478.95</v>
      </c>
      <c r="N79" s="4">
        <v>463.5</v>
      </c>
      <c r="O79" s="4">
        <v>478.95</v>
      </c>
      <c r="P79" s="4">
        <v>0</v>
      </c>
      <c r="Q79" s="4">
        <v>0</v>
      </c>
      <c r="R79" s="4">
        <v>0</v>
      </c>
      <c r="S79" s="4">
        <v>4264.2</v>
      </c>
      <c r="T79" s="2">
        <v>201409</v>
      </c>
      <c r="U79" s="16" t="s">
        <v>240</v>
      </c>
      <c r="V79" s="24">
        <f t="shared" si="5"/>
        <v>4264.2</v>
      </c>
      <c r="W79" s="24">
        <f t="shared" si="6"/>
        <v>473.79999999999995</v>
      </c>
      <c r="X79" s="24">
        <f t="shared" si="7"/>
        <v>1421.3999999999999</v>
      </c>
    </row>
    <row r="80" spans="1:24" x14ac:dyDescent="0.25">
      <c r="A80" s="9" t="s">
        <v>171</v>
      </c>
      <c r="B80" s="2" t="s">
        <v>56</v>
      </c>
      <c r="C80" s="23">
        <f>VLOOKUP(A80,'2012'!$A$2:$R$99,18,FALSE)</f>
        <v>50556.54</v>
      </c>
      <c r="D80" s="23">
        <f>VLOOKUP(A80,'2013'!$A$2:$R$101,18,FALSE)</f>
        <v>59181.54</v>
      </c>
      <c r="E80" s="19">
        <f t="shared" si="4"/>
        <v>63573.41333333333</v>
      </c>
      <c r="F80" s="4">
        <v>0</v>
      </c>
      <c r="G80" s="4">
        <v>6062</v>
      </c>
      <c r="H80" s="4">
        <v>8840</v>
      </c>
      <c r="I80" s="4">
        <v>9657.06</v>
      </c>
      <c r="J80" s="4">
        <v>3950</v>
      </c>
      <c r="K80" s="4">
        <v>4504</v>
      </c>
      <c r="L80" s="4">
        <v>3950</v>
      </c>
      <c r="M80" s="4">
        <v>2817</v>
      </c>
      <c r="N80" s="4">
        <v>3950</v>
      </c>
      <c r="O80" s="4">
        <v>3950</v>
      </c>
      <c r="P80" s="4">
        <v>0</v>
      </c>
      <c r="Q80" s="4">
        <v>0</v>
      </c>
      <c r="R80" s="4">
        <v>0</v>
      </c>
      <c r="S80" s="4">
        <v>47680.06</v>
      </c>
      <c r="T80" s="2">
        <v>201409</v>
      </c>
      <c r="U80" s="16" t="s">
        <v>240</v>
      </c>
      <c r="V80" s="24">
        <f t="shared" si="5"/>
        <v>47680.06</v>
      </c>
      <c r="W80" s="24">
        <f t="shared" si="6"/>
        <v>5297.7844444444445</v>
      </c>
      <c r="X80" s="24">
        <f t="shared" si="7"/>
        <v>15893.353333333333</v>
      </c>
    </row>
    <row r="81" spans="1:24" x14ac:dyDescent="0.25">
      <c r="A81" s="9" t="s">
        <v>172</v>
      </c>
      <c r="B81" s="2" t="s">
        <v>57</v>
      </c>
      <c r="C81" s="23">
        <f>VLOOKUP(A81,'2012'!$A$2:$R$99,18,FALSE)</f>
        <v>6453.91</v>
      </c>
      <c r="D81" s="23">
        <f>VLOOKUP(A81,'2013'!$A$2:$R$101,18,FALSE)</f>
        <v>18319.240000000002</v>
      </c>
      <c r="E81" s="19">
        <f t="shared" si="4"/>
        <v>8746.6666666666679</v>
      </c>
      <c r="F81" s="4">
        <v>0</v>
      </c>
      <c r="G81" s="4">
        <v>1520</v>
      </c>
      <c r="H81" s="4">
        <v>3730</v>
      </c>
      <c r="I81" s="4">
        <v>1185</v>
      </c>
      <c r="J81" s="4">
        <v>125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6560</v>
      </c>
      <c r="T81" s="2">
        <v>201409</v>
      </c>
      <c r="U81" s="16" t="s">
        <v>240</v>
      </c>
      <c r="V81" s="24">
        <f t="shared" si="5"/>
        <v>6560</v>
      </c>
      <c r="W81" s="24">
        <f t="shared" si="6"/>
        <v>728.88888888888891</v>
      </c>
      <c r="X81" s="24">
        <f t="shared" si="7"/>
        <v>2186.666666666667</v>
      </c>
    </row>
    <row r="82" spans="1:24" x14ac:dyDescent="0.25">
      <c r="A82" s="9" t="s">
        <v>173</v>
      </c>
      <c r="B82" s="2" t="s">
        <v>58</v>
      </c>
      <c r="C82" s="23">
        <f>VLOOKUP(A82,'2012'!$A$2:$R$99,18,FALSE)</f>
        <v>0</v>
      </c>
      <c r="D82" s="23">
        <f>VLOOKUP(A82,'2013'!$A$2:$R$101,18,FALSE)</f>
        <v>0</v>
      </c>
      <c r="E82" s="19">
        <f t="shared" si="4"/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2">
        <v>201409</v>
      </c>
      <c r="U82" s="16" t="s">
        <v>240</v>
      </c>
      <c r="V82" s="24">
        <f t="shared" si="5"/>
        <v>0</v>
      </c>
      <c r="W82" s="24">
        <f t="shared" si="6"/>
        <v>0</v>
      </c>
      <c r="X82" s="24">
        <f t="shared" si="7"/>
        <v>0</v>
      </c>
    </row>
    <row r="83" spans="1:24" x14ac:dyDescent="0.25">
      <c r="A83" s="9" t="s">
        <v>174</v>
      </c>
      <c r="B83" s="2" t="s">
        <v>42</v>
      </c>
      <c r="C83" s="23">
        <f>VLOOKUP(A83,'2012'!$A$2:$R$99,18,FALSE)</f>
        <v>4169.1400000000003</v>
      </c>
      <c r="D83" s="23">
        <f>VLOOKUP(A83,'2013'!$A$2:$R$101,18,FALSE)</f>
        <v>5842.35</v>
      </c>
      <c r="E83" s="19">
        <f t="shared" si="4"/>
        <v>8370.3333333333339</v>
      </c>
      <c r="F83" s="4">
        <v>0</v>
      </c>
      <c r="G83" s="4">
        <v>648.27</v>
      </c>
      <c r="H83" s="4">
        <v>635.61</v>
      </c>
      <c r="I83" s="4">
        <v>989.49</v>
      </c>
      <c r="J83" s="4">
        <v>630.1</v>
      </c>
      <c r="K83" s="4">
        <v>809.62</v>
      </c>
      <c r="L83" s="4">
        <v>640.28</v>
      </c>
      <c r="M83" s="4">
        <v>667.45</v>
      </c>
      <c r="N83" s="4">
        <v>650.70000000000005</v>
      </c>
      <c r="O83" s="4">
        <v>606.23</v>
      </c>
      <c r="P83" s="4">
        <v>0</v>
      </c>
      <c r="Q83" s="4">
        <v>0</v>
      </c>
      <c r="R83" s="4">
        <v>0</v>
      </c>
      <c r="S83" s="4">
        <v>6277.75</v>
      </c>
      <c r="T83" s="2">
        <v>201409</v>
      </c>
      <c r="U83" s="16" t="s">
        <v>240</v>
      </c>
      <c r="V83" s="24">
        <f t="shared" si="5"/>
        <v>6277.75</v>
      </c>
      <c r="W83" s="24">
        <f t="shared" si="6"/>
        <v>697.52777777777783</v>
      </c>
      <c r="X83" s="24">
        <f t="shared" si="7"/>
        <v>2092.5833333333335</v>
      </c>
    </row>
    <row r="84" spans="1:24" x14ac:dyDescent="0.25">
      <c r="A84" s="9" t="s">
        <v>175</v>
      </c>
      <c r="B84" s="2" t="s">
        <v>231</v>
      </c>
      <c r="C84" s="23">
        <f>VLOOKUP(A84,'2012'!$A$2:$R$99,18,FALSE)</f>
        <v>6220.74</v>
      </c>
      <c r="D84" s="23">
        <f>VLOOKUP(A84,'2013'!$A$2:$R$101,18,FALSE)</f>
        <v>15195.28</v>
      </c>
      <c r="E84" s="19">
        <f t="shared" si="4"/>
        <v>19523.893333333333</v>
      </c>
      <c r="F84" s="4">
        <v>0</v>
      </c>
      <c r="G84" s="4">
        <v>17487.580000000002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-2844.66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14642.92</v>
      </c>
      <c r="T84" s="2">
        <v>201409</v>
      </c>
      <c r="U84" s="16" t="s">
        <v>240</v>
      </c>
      <c r="V84" s="24">
        <f t="shared" si="5"/>
        <v>14642.920000000002</v>
      </c>
      <c r="W84" s="24">
        <f t="shared" si="6"/>
        <v>1626.9911111111114</v>
      </c>
      <c r="X84" s="24">
        <f t="shared" si="7"/>
        <v>4880.9733333333343</v>
      </c>
    </row>
    <row r="85" spans="1:24" x14ac:dyDescent="0.25">
      <c r="A85" s="9" t="s">
        <v>176</v>
      </c>
      <c r="B85" s="2" t="s">
        <v>59</v>
      </c>
      <c r="C85" s="23">
        <f>VLOOKUP(A85,'2012'!$A$2:$R$99,18,FALSE)</f>
        <v>15930.75</v>
      </c>
      <c r="D85" s="23">
        <f>VLOOKUP(A85,'2013'!$A$2:$R$101,18,FALSE)</f>
        <v>20676.099999999999</v>
      </c>
      <c r="E85" s="19">
        <f t="shared" si="4"/>
        <v>26583.613333333331</v>
      </c>
      <c r="F85" s="4">
        <v>0</v>
      </c>
      <c r="G85" s="4">
        <v>755.87</v>
      </c>
      <c r="H85" s="4">
        <v>1887.78</v>
      </c>
      <c r="I85" s="4">
        <v>2380.17</v>
      </c>
      <c r="J85" s="4">
        <v>1937.73</v>
      </c>
      <c r="K85" s="4">
        <v>2050.7199999999998</v>
      </c>
      <c r="L85" s="4">
        <v>2050.31</v>
      </c>
      <c r="M85" s="4">
        <v>1926.96</v>
      </c>
      <c r="N85" s="4">
        <v>5064.3900000000003</v>
      </c>
      <c r="O85" s="4">
        <v>1883.78</v>
      </c>
      <c r="P85" s="4">
        <v>0</v>
      </c>
      <c r="Q85" s="4">
        <v>0</v>
      </c>
      <c r="R85" s="4">
        <v>0</v>
      </c>
      <c r="S85" s="4">
        <v>19937.71</v>
      </c>
      <c r="T85" s="2">
        <v>201409</v>
      </c>
      <c r="U85" s="16" t="s">
        <v>240</v>
      </c>
      <c r="V85" s="24">
        <f t="shared" si="5"/>
        <v>19937.709999999995</v>
      </c>
      <c r="W85" s="24">
        <f t="shared" si="6"/>
        <v>2215.3011111111105</v>
      </c>
      <c r="X85" s="24">
        <f t="shared" si="7"/>
        <v>6645.9033333333318</v>
      </c>
    </row>
    <row r="86" spans="1:24" x14ac:dyDescent="0.25">
      <c r="A86" s="9" t="s">
        <v>177</v>
      </c>
      <c r="B86" s="2" t="s">
        <v>232</v>
      </c>
      <c r="C86" s="23">
        <f>VLOOKUP(A86,'2012'!$A$2:$R$99,18,FALSE)</f>
        <v>1011</v>
      </c>
      <c r="D86" s="23">
        <f>VLOOKUP(A86,'2013'!$A$2:$R$101,18,FALSE)</f>
        <v>1718.88</v>
      </c>
      <c r="E86" s="19">
        <f t="shared" si="4"/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2">
        <v>201409</v>
      </c>
      <c r="U86" s="16" t="s">
        <v>240</v>
      </c>
      <c r="V86" s="24">
        <f t="shared" si="5"/>
        <v>0</v>
      </c>
      <c r="W86" s="24">
        <f t="shared" si="6"/>
        <v>0</v>
      </c>
      <c r="X86" s="24">
        <f t="shared" si="7"/>
        <v>0</v>
      </c>
    </row>
    <row r="87" spans="1:24" x14ac:dyDescent="0.25">
      <c r="A87" s="9" t="s">
        <v>178</v>
      </c>
      <c r="B87" s="2" t="s">
        <v>60</v>
      </c>
      <c r="C87" s="23">
        <f>VLOOKUP(A87,'2012'!$A$2:$R$99,18,FALSE)</f>
        <v>0</v>
      </c>
      <c r="D87" s="23">
        <f>VLOOKUP(A87,'2013'!$A$2:$R$101,18,FALSE)</f>
        <v>0</v>
      </c>
      <c r="E87" s="19">
        <f t="shared" si="4"/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2">
        <v>201409</v>
      </c>
      <c r="U87" s="16" t="s">
        <v>240</v>
      </c>
      <c r="V87" s="24">
        <f t="shared" si="5"/>
        <v>0</v>
      </c>
      <c r="W87" s="24">
        <f t="shared" si="6"/>
        <v>0</v>
      </c>
      <c r="X87" s="24">
        <f t="shared" si="7"/>
        <v>0</v>
      </c>
    </row>
    <row r="88" spans="1:24" x14ac:dyDescent="0.25">
      <c r="A88" s="9" t="s">
        <v>179</v>
      </c>
      <c r="B88" s="2" t="s">
        <v>61</v>
      </c>
      <c r="C88" s="23">
        <f>VLOOKUP(A88,'2012'!$A$2:$R$99,18,FALSE)</f>
        <v>41128.65</v>
      </c>
      <c r="D88" s="23">
        <f>VLOOKUP(A88,'2013'!$A$2:$R$101,18,FALSE)</f>
        <v>26861.72</v>
      </c>
      <c r="E88" s="19">
        <f t="shared" si="4"/>
        <v>26593</v>
      </c>
      <c r="F88" s="4">
        <v>0</v>
      </c>
      <c r="G88" s="4">
        <v>0</v>
      </c>
      <c r="H88" s="4">
        <v>0</v>
      </c>
      <c r="I88" s="4">
        <v>9570.4699999999993</v>
      </c>
      <c r="J88" s="4">
        <v>0</v>
      </c>
      <c r="K88" s="4">
        <v>9901.0300000000007</v>
      </c>
      <c r="L88" s="4">
        <v>0</v>
      </c>
      <c r="M88" s="4">
        <v>0</v>
      </c>
      <c r="N88" s="4">
        <v>473.25</v>
      </c>
      <c r="O88" s="4">
        <v>0</v>
      </c>
      <c r="P88" s="4">
        <v>0</v>
      </c>
      <c r="Q88" s="4">
        <v>0</v>
      </c>
      <c r="R88" s="4">
        <v>0</v>
      </c>
      <c r="S88" s="4">
        <v>19944.75</v>
      </c>
      <c r="T88" s="2">
        <v>201409</v>
      </c>
      <c r="U88" s="16" t="s">
        <v>240</v>
      </c>
      <c r="V88" s="24">
        <f t="shared" si="5"/>
        <v>19944.75</v>
      </c>
      <c r="W88" s="24">
        <f t="shared" si="6"/>
        <v>2216.0833333333335</v>
      </c>
      <c r="X88" s="24">
        <f t="shared" si="7"/>
        <v>6648.25</v>
      </c>
    </row>
    <row r="89" spans="1:24" x14ac:dyDescent="0.25">
      <c r="A89" s="9" t="s">
        <v>242</v>
      </c>
      <c r="B89" s="2" t="s">
        <v>70</v>
      </c>
      <c r="C89" s="23">
        <f>IFERROR(VLOOKUP(B89,'[3]2012'!$A$2:$R$91,18,FALSE),0)</f>
        <v>0</v>
      </c>
      <c r="D89" s="23">
        <f>VLOOKUP(A89,'2013'!$A$2:$R$101,18,FALSE)</f>
        <v>15496.89</v>
      </c>
      <c r="E89" s="19">
        <f t="shared" si="4"/>
        <v>1739.7066666666667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1304.78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1304.78</v>
      </c>
      <c r="T89" s="2">
        <v>201409</v>
      </c>
      <c r="U89" s="16" t="s">
        <v>240</v>
      </c>
      <c r="V89" s="24">
        <f t="shared" si="5"/>
        <v>1304.78</v>
      </c>
      <c r="W89" s="24">
        <f t="shared" si="6"/>
        <v>144.97555555555556</v>
      </c>
      <c r="X89" s="24">
        <f t="shared" si="7"/>
        <v>434.92666666666668</v>
      </c>
    </row>
    <row r="90" spans="1:24" x14ac:dyDescent="0.25">
      <c r="A90" s="9" t="s">
        <v>180</v>
      </c>
      <c r="B90" s="2" t="s">
        <v>233</v>
      </c>
      <c r="C90" s="23">
        <f>VLOOKUP(A90,'2012'!$A$2:$R$99,18,FALSE)</f>
        <v>55623.74</v>
      </c>
      <c r="D90" s="23">
        <f>VLOOKUP(A90,'2013'!$A$2:$R$101,18,FALSE)</f>
        <v>38300.93</v>
      </c>
      <c r="E90" s="19">
        <f t="shared" si="4"/>
        <v>33850.546666666669</v>
      </c>
      <c r="F90" s="4">
        <v>0</v>
      </c>
      <c r="G90" s="4">
        <v>5559.38</v>
      </c>
      <c r="H90" s="4">
        <v>2690.01</v>
      </c>
      <c r="I90" s="4">
        <v>2629.97</v>
      </c>
      <c r="J90" s="4">
        <v>2569.75</v>
      </c>
      <c r="K90" s="4">
        <v>0</v>
      </c>
      <c r="L90" s="4">
        <v>4958.08</v>
      </c>
      <c r="M90" s="4">
        <v>2387.9499999999998</v>
      </c>
      <c r="N90" s="4">
        <v>2326.9699999999998</v>
      </c>
      <c r="O90" s="4">
        <v>2265.8000000000002</v>
      </c>
      <c r="P90" s="4">
        <v>0</v>
      </c>
      <c r="Q90" s="4">
        <v>0</v>
      </c>
      <c r="R90" s="4">
        <v>0</v>
      </c>
      <c r="S90" s="4">
        <v>25387.91</v>
      </c>
      <c r="T90" s="2">
        <v>201409</v>
      </c>
      <c r="U90" s="16" t="s">
        <v>240</v>
      </c>
      <c r="V90" s="24">
        <f t="shared" si="5"/>
        <v>25387.91</v>
      </c>
      <c r="W90" s="24">
        <f t="shared" si="6"/>
        <v>2820.8788888888889</v>
      </c>
      <c r="X90" s="24">
        <f t="shared" si="7"/>
        <v>8462.6366666666672</v>
      </c>
    </row>
    <row r="91" spans="1:24" x14ac:dyDescent="0.25">
      <c r="A91" s="9" t="s">
        <v>181</v>
      </c>
      <c r="B91" s="2" t="s">
        <v>62</v>
      </c>
      <c r="C91" s="23">
        <f>VLOOKUP(A91,'2012'!$A$2:$R$99,18,FALSE)</f>
        <v>131603.26</v>
      </c>
      <c r="D91" s="23">
        <f>VLOOKUP(A91,'2013'!$A$2:$R$101,18,FALSE)</f>
        <v>126738.99</v>
      </c>
      <c r="E91" s="19">
        <f t="shared" si="4"/>
        <v>123167.74666666667</v>
      </c>
      <c r="F91" s="4">
        <v>0</v>
      </c>
      <c r="G91" s="4">
        <v>10561.58</v>
      </c>
      <c r="H91" s="4">
        <v>10561.58</v>
      </c>
      <c r="I91" s="4">
        <v>10561.58</v>
      </c>
      <c r="J91" s="4">
        <v>10561.58</v>
      </c>
      <c r="K91" s="4">
        <v>10561.58</v>
      </c>
      <c r="L91" s="4">
        <v>8775.9699999999993</v>
      </c>
      <c r="M91" s="4">
        <v>10263.98</v>
      </c>
      <c r="N91" s="4">
        <v>10263.98</v>
      </c>
      <c r="O91" s="4">
        <v>10263.98</v>
      </c>
      <c r="P91" s="4">
        <v>0</v>
      </c>
      <c r="Q91" s="4">
        <v>0</v>
      </c>
      <c r="R91" s="4">
        <v>0</v>
      </c>
      <c r="S91" s="4">
        <v>92375.81</v>
      </c>
      <c r="T91" s="2">
        <v>201409</v>
      </c>
      <c r="U91" s="16" t="s">
        <v>240</v>
      </c>
      <c r="V91" s="24">
        <f t="shared" si="5"/>
        <v>92375.81</v>
      </c>
      <c r="W91" s="24">
        <f t="shared" si="6"/>
        <v>10263.978888888889</v>
      </c>
      <c r="X91" s="24">
        <f t="shared" si="7"/>
        <v>30791.936666666668</v>
      </c>
    </row>
    <row r="92" spans="1:24" x14ac:dyDescent="0.25">
      <c r="A92" s="9" t="s">
        <v>182</v>
      </c>
      <c r="B92" s="2" t="s">
        <v>63</v>
      </c>
      <c r="C92" s="23">
        <f>VLOOKUP(A92,'2012'!$A$2:$R$99,18,FALSE)</f>
        <v>33000</v>
      </c>
      <c r="D92" s="23">
        <f>VLOOKUP(A92,'2013'!$A$2:$R$101,18,FALSE)</f>
        <v>36000</v>
      </c>
      <c r="E92" s="19">
        <f t="shared" si="4"/>
        <v>36000</v>
      </c>
      <c r="F92" s="4">
        <v>0</v>
      </c>
      <c r="G92" s="4">
        <v>3000</v>
      </c>
      <c r="H92" s="4">
        <v>3000</v>
      </c>
      <c r="I92" s="4">
        <v>3000</v>
      </c>
      <c r="J92" s="4">
        <v>3000</v>
      </c>
      <c r="K92" s="4">
        <v>3000</v>
      </c>
      <c r="L92" s="4">
        <v>3000</v>
      </c>
      <c r="M92" s="4">
        <v>3000</v>
      </c>
      <c r="N92" s="4">
        <v>3000</v>
      </c>
      <c r="O92" s="4">
        <v>3000</v>
      </c>
      <c r="P92" s="4">
        <v>0</v>
      </c>
      <c r="Q92" s="4">
        <v>0</v>
      </c>
      <c r="R92" s="4">
        <v>0</v>
      </c>
      <c r="S92" s="4">
        <v>27000</v>
      </c>
      <c r="T92" s="2">
        <v>201409</v>
      </c>
      <c r="U92" s="16" t="s">
        <v>240</v>
      </c>
      <c r="V92" s="24">
        <f t="shared" si="5"/>
        <v>27000</v>
      </c>
      <c r="W92" s="24">
        <f t="shared" si="6"/>
        <v>3000</v>
      </c>
      <c r="X92" s="24">
        <f t="shared" si="7"/>
        <v>9000</v>
      </c>
    </row>
    <row r="93" spans="1:24" x14ac:dyDescent="0.25">
      <c r="A93" s="9" t="s">
        <v>183</v>
      </c>
      <c r="B93" s="2" t="s">
        <v>234</v>
      </c>
      <c r="C93" s="23">
        <f>VLOOKUP(A93,'2012'!$A$2:$R$99,18,FALSE)</f>
        <v>0</v>
      </c>
      <c r="D93" s="23">
        <f>VLOOKUP(A93,'2013'!$A$2:$R$101,18,FALSE)</f>
        <v>0</v>
      </c>
      <c r="E93" s="19">
        <f t="shared" si="4"/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2">
        <v>201409</v>
      </c>
      <c r="U93" s="16" t="s">
        <v>240</v>
      </c>
      <c r="V93" s="24">
        <f t="shared" si="5"/>
        <v>0</v>
      </c>
      <c r="W93" s="24">
        <f t="shared" si="6"/>
        <v>0</v>
      </c>
      <c r="X93" s="24">
        <f t="shared" si="7"/>
        <v>0</v>
      </c>
    </row>
    <row r="94" spans="1:24" x14ac:dyDescent="0.25">
      <c r="A94" s="9" t="s">
        <v>184</v>
      </c>
      <c r="B94" s="2" t="s">
        <v>198</v>
      </c>
      <c r="C94" s="23">
        <f>VLOOKUP(A94,'2012'!$A$2:$R$99,18,FALSE)</f>
        <v>0</v>
      </c>
      <c r="D94" s="23">
        <f>VLOOKUP(A94,'2013'!$A$2:$R$101,18,FALSE)</f>
        <v>0</v>
      </c>
      <c r="E94" s="19">
        <f t="shared" si="4"/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2">
        <v>201409</v>
      </c>
      <c r="U94" s="16" t="s">
        <v>240</v>
      </c>
      <c r="V94" s="24">
        <f t="shared" si="5"/>
        <v>0</v>
      </c>
      <c r="W94" s="24">
        <f t="shared" si="6"/>
        <v>0</v>
      </c>
      <c r="X94" s="24">
        <f t="shared" si="7"/>
        <v>0</v>
      </c>
    </row>
    <row r="95" spans="1:24" x14ac:dyDescent="0.25">
      <c r="A95" s="9" t="s">
        <v>185</v>
      </c>
      <c r="B95" s="2" t="s">
        <v>25</v>
      </c>
      <c r="C95" s="23">
        <f>VLOOKUP(A95,'2012'!$A$2:$R$99,18,FALSE)</f>
        <v>271.41000000000003</v>
      </c>
      <c r="D95" s="23">
        <f>VLOOKUP(A95,'2013'!$A$2:$R$101,18,FALSE)</f>
        <v>0</v>
      </c>
      <c r="E95" s="19">
        <f t="shared" si="4"/>
        <v>93518.666666666672</v>
      </c>
      <c r="F95" s="4">
        <v>0</v>
      </c>
      <c r="G95" s="4">
        <v>48984.31</v>
      </c>
      <c r="H95" s="4">
        <v>12537.69</v>
      </c>
      <c r="I95" s="4">
        <v>0</v>
      </c>
      <c r="J95" s="4">
        <v>0</v>
      </c>
      <c r="K95" s="4">
        <v>0</v>
      </c>
      <c r="L95" s="4">
        <v>2400</v>
      </c>
      <c r="M95" s="4">
        <v>0</v>
      </c>
      <c r="N95" s="4">
        <v>6217</v>
      </c>
      <c r="O95" s="4">
        <v>0</v>
      </c>
      <c r="P95" s="4">
        <v>0</v>
      </c>
      <c r="Q95" s="4">
        <v>0</v>
      </c>
      <c r="R95" s="4">
        <v>0</v>
      </c>
      <c r="S95" s="4">
        <v>70139</v>
      </c>
      <c r="T95" s="2">
        <v>201409</v>
      </c>
      <c r="U95" s="16" t="s">
        <v>240</v>
      </c>
      <c r="V95" s="24">
        <f t="shared" si="5"/>
        <v>70139</v>
      </c>
      <c r="W95" s="24">
        <f t="shared" si="6"/>
        <v>7793.2222222222226</v>
      </c>
      <c r="X95" s="24">
        <f t="shared" si="7"/>
        <v>23379.666666666668</v>
      </c>
    </row>
    <row r="96" spans="1:24" x14ac:dyDescent="0.25">
      <c r="A96" s="9" t="s">
        <v>186</v>
      </c>
      <c r="B96" s="2" t="s">
        <v>235</v>
      </c>
      <c r="C96" s="23">
        <f>VLOOKUP(A96,'2012'!$A$2:$R$99,18,FALSE)</f>
        <v>0</v>
      </c>
      <c r="D96" s="23">
        <f>VLOOKUP(A96,'2013'!$A$2:$R$101,18,FALSE)</f>
        <v>0</v>
      </c>
      <c r="E96" s="19">
        <f t="shared" si="4"/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2">
        <v>201409</v>
      </c>
      <c r="U96" s="16" t="s">
        <v>240</v>
      </c>
      <c r="V96" s="24">
        <f t="shared" si="5"/>
        <v>0</v>
      </c>
      <c r="W96" s="24">
        <f t="shared" si="6"/>
        <v>0</v>
      </c>
      <c r="X96" s="24">
        <f t="shared" si="7"/>
        <v>0</v>
      </c>
    </row>
    <row r="97" spans="1:24" x14ac:dyDescent="0.25">
      <c r="A97" s="9" t="s">
        <v>187</v>
      </c>
      <c r="B97" s="2" t="s">
        <v>236</v>
      </c>
      <c r="C97" s="23">
        <f>VLOOKUP(A97,'2012'!$A$2:$R$99,18,FALSE)</f>
        <v>8931</v>
      </c>
      <c r="D97" s="23">
        <f>VLOOKUP(A97,'2013'!$A$2:$R$101,18,FALSE)</f>
        <v>10243</v>
      </c>
      <c r="E97" s="19">
        <f t="shared" si="4"/>
        <v>6718</v>
      </c>
      <c r="F97" s="4">
        <v>0</v>
      </c>
      <c r="G97" s="4">
        <v>0</v>
      </c>
      <c r="H97" s="4">
        <v>619.5</v>
      </c>
      <c r="I97" s="4">
        <v>1457</v>
      </c>
      <c r="J97" s="4">
        <v>0</v>
      </c>
      <c r="K97" s="4">
        <v>0</v>
      </c>
      <c r="L97" s="4">
        <v>0</v>
      </c>
      <c r="M97" s="4">
        <v>2475</v>
      </c>
      <c r="N97" s="4">
        <v>487</v>
      </c>
      <c r="O97" s="4">
        <v>0</v>
      </c>
      <c r="P97" s="4">
        <v>0</v>
      </c>
      <c r="Q97" s="4">
        <v>0</v>
      </c>
      <c r="R97" s="4">
        <v>0</v>
      </c>
      <c r="S97" s="4">
        <v>5038.5</v>
      </c>
      <c r="T97" s="2">
        <v>201409</v>
      </c>
      <c r="U97" s="16" t="s">
        <v>240</v>
      </c>
      <c r="V97" s="24">
        <f t="shared" si="5"/>
        <v>5038.5</v>
      </c>
      <c r="W97" s="24">
        <f t="shared" si="6"/>
        <v>559.83333333333337</v>
      </c>
      <c r="X97" s="24">
        <f t="shared" si="7"/>
        <v>1679.5</v>
      </c>
    </row>
    <row r="98" spans="1:24" x14ac:dyDescent="0.25">
      <c r="A98" s="9" t="s">
        <v>188</v>
      </c>
      <c r="B98" s="2" t="s">
        <v>64</v>
      </c>
      <c r="C98" s="23">
        <f>VLOOKUP(A98,'2012'!$A$2:$R$99,18,FALSE)</f>
        <v>0</v>
      </c>
      <c r="D98" s="23">
        <f>VLOOKUP(A98,'2013'!$A$2:$R$101,18,FALSE)</f>
        <v>0</v>
      </c>
      <c r="E98" s="19">
        <f t="shared" si="4"/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2">
        <v>201409</v>
      </c>
      <c r="U98" s="16" t="s">
        <v>240</v>
      </c>
      <c r="V98" s="24">
        <f t="shared" si="5"/>
        <v>0</v>
      </c>
      <c r="W98" s="24">
        <f t="shared" si="6"/>
        <v>0</v>
      </c>
      <c r="X98" s="24">
        <f t="shared" si="7"/>
        <v>0</v>
      </c>
    </row>
    <row r="99" spans="1:24" x14ac:dyDescent="0.25">
      <c r="A99" s="9" t="s">
        <v>189</v>
      </c>
      <c r="B99" s="2" t="s">
        <v>26</v>
      </c>
      <c r="C99" s="23">
        <f>VLOOKUP(A99,'2012'!$A$2:$R$99,18,FALSE)</f>
        <v>21503.03</v>
      </c>
      <c r="D99" s="23">
        <f>VLOOKUP(A99,'2013'!$A$2:$R$101,18,FALSE)</f>
        <v>23943.200000000001</v>
      </c>
      <c r="E99" s="19">
        <f t="shared" si="4"/>
        <v>37508.826666666668</v>
      </c>
      <c r="F99" s="4">
        <v>0</v>
      </c>
      <c r="G99" s="4">
        <v>1578.31</v>
      </c>
      <c r="H99" s="4">
        <v>0</v>
      </c>
      <c r="I99" s="4">
        <v>899.53</v>
      </c>
      <c r="J99" s="4">
        <v>3877.93</v>
      </c>
      <c r="K99" s="4">
        <v>2591.23</v>
      </c>
      <c r="L99" s="4">
        <v>4583.55</v>
      </c>
      <c r="M99" s="4">
        <v>7001.27</v>
      </c>
      <c r="N99" s="4">
        <v>3388.66</v>
      </c>
      <c r="O99" s="4">
        <v>4211.1400000000003</v>
      </c>
      <c r="P99" s="4">
        <v>0</v>
      </c>
      <c r="Q99" s="4">
        <v>0</v>
      </c>
      <c r="R99" s="4">
        <v>0</v>
      </c>
      <c r="S99" s="4">
        <v>28131.62</v>
      </c>
      <c r="T99" s="2">
        <v>201409</v>
      </c>
      <c r="U99" s="16" t="s">
        <v>240</v>
      </c>
      <c r="V99" s="24">
        <f t="shared" si="5"/>
        <v>28131.62</v>
      </c>
      <c r="W99" s="24">
        <f t="shared" si="6"/>
        <v>3125.7355555555555</v>
      </c>
      <c r="X99" s="24">
        <f t="shared" si="7"/>
        <v>9377.2066666666669</v>
      </c>
    </row>
    <row r="100" spans="1:24" x14ac:dyDescent="0.25">
      <c r="A100" s="9" t="s">
        <v>190</v>
      </c>
      <c r="B100" s="2" t="s">
        <v>65</v>
      </c>
      <c r="C100" s="23">
        <f>VLOOKUP(A100,'2012'!$A$2:$R$99,18,FALSE)</f>
        <v>24222.37</v>
      </c>
      <c r="D100" s="23">
        <f>VLOOKUP(A100,'2013'!$A$2:$R$101,18,FALSE)</f>
        <v>0</v>
      </c>
      <c r="E100" s="19">
        <f t="shared" si="4"/>
        <v>1178.6666666666667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884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884</v>
      </c>
      <c r="T100" s="2">
        <v>201409</v>
      </c>
      <c r="U100" s="16" t="s">
        <v>240</v>
      </c>
      <c r="V100" s="24">
        <f t="shared" si="5"/>
        <v>884</v>
      </c>
      <c r="W100" s="24">
        <f t="shared" si="6"/>
        <v>98.222222222222229</v>
      </c>
      <c r="X100" s="24">
        <f t="shared" si="7"/>
        <v>294.66666666666669</v>
      </c>
    </row>
    <row r="101" spans="1:24" x14ac:dyDescent="0.25">
      <c r="A101" s="9" t="s">
        <v>191</v>
      </c>
      <c r="B101" s="2" t="s">
        <v>237</v>
      </c>
      <c r="C101" s="23">
        <f>VLOOKUP(A101,'2012'!$A$2:$R$99,18,FALSE)</f>
        <v>194891.79</v>
      </c>
      <c r="D101" s="23">
        <f>VLOOKUP(A101,'2013'!$A$2:$R$101,18,FALSE)</f>
        <v>224519.35</v>
      </c>
      <c r="E101" s="19">
        <f t="shared" si="4"/>
        <v>258171.98666666663</v>
      </c>
      <c r="F101" s="4">
        <v>0</v>
      </c>
      <c r="G101" s="4">
        <v>38244</v>
      </c>
      <c r="H101" s="4">
        <v>19211.68</v>
      </c>
      <c r="I101" s="4">
        <v>19271.72</v>
      </c>
      <c r="J101" s="4">
        <v>19331.939999999999</v>
      </c>
      <c r="K101" s="4">
        <v>0</v>
      </c>
      <c r="L101" s="4">
        <v>38845.300000000003</v>
      </c>
      <c r="M101" s="4">
        <v>19513.740000000002</v>
      </c>
      <c r="N101" s="4">
        <v>19574.72</v>
      </c>
      <c r="O101" s="4">
        <v>19635.89</v>
      </c>
      <c r="P101" s="4">
        <v>0</v>
      </c>
      <c r="Q101" s="4">
        <v>0</v>
      </c>
      <c r="R101" s="4">
        <v>0</v>
      </c>
      <c r="S101" s="4">
        <v>193628.99</v>
      </c>
      <c r="T101" s="2">
        <v>201409</v>
      </c>
      <c r="U101" s="16" t="s">
        <v>240</v>
      </c>
      <c r="V101" s="24">
        <f t="shared" si="5"/>
        <v>193628.99</v>
      </c>
      <c r="W101" s="24">
        <f t="shared" si="6"/>
        <v>21514.33222222222</v>
      </c>
      <c r="X101" s="24">
        <f t="shared" si="7"/>
        <v>64542.996666666659</v>
      </c>
    </row>
    <row r="102" spans="1:24" x14ac:dyDescent="0.25">
      <c r="A102" s="9" t="s">
        <v>192</v>
      </c>
      <c r="B102" s="2" t="s">
        <v>238</v>
      </c>
      <c r="C102" s="23">
        <f>VLOOKUP(A102,'2012'!$A$2:$R$99,18,FALSE)</f>
        <v>0</v>
      </c>
      <c r="D102" s="23">
        <f>VLOOKUP(A102,'2013'!$A$2:$R$101,18,FALSE)</f>
        <v>0</v>
      </c>
      <c r="E102" s="19">
        <f t="shared" si="4"/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2">
        <v>201409</v>
      </c>
      <c r="U102" s="16" t="s">
        <v>240</v>
      </c>
      <c r="V102" s="24">
        <f t="shared" si="5"/>
        <v>0</v>
      </c>
      <c r="W102" s="24">
        <f t="shared" si="6"/>
        <v>0</v>
      </c>
      <c r="X102" s="24">
        <f t="shared" si="7"/>
        <v>0</v>
      </c>
    </row>
    <row r="103" spans="1:24" x14ac:dyDescent="0.25">
      <c r="A103" s="11" t="s">
        <v>193</v>
      </c>
      <c r="B103" s="12" t="s">
        <v>239</v>
      </c>
      <c r="C103" s="23">
        <f>VLOOKUP(A103,'2012'!$A$2:$R$99,18,FALSE)</f>
        <v>-282819.59999999998</v>
      </c>
      <c r="D103" s="23">
        <f>VLOOKUP(A103,'2013'!$A$2:$R$101,18,FALSE)</f>
        <v>-294705.55</v>
      </c>
      <c r="E103" s="19">
        <f t="shared" ref="E103" si="8">S103+X103</f>
        <v>-433096.14666666667</v>
      </c>
      <c r="F103" s="14">
        <v>0</v>
      </c>
      <c r="G103" s="14">
        <v>-91806.62</v>
      </c>
      <c r="H103" s="14">
        <v>-35368.870000000003</v>
      </c>
      <c r="I103" s="14">
        <v>-24628.25</v>
      </c>
      <c r="J103" s="14">
        <v>-26209.87</v>
      </c>
      <c r="K103" s="14">
        <v>-6475.23</v>
      </c>
      <c r="L103" s="14">
        <v>-48828.85</v>
      </c>
      <c r="M103" s="14">
        <v>-31990.01</v>
      </c>
      <c r="N103" s="14">
        <v>-32667.38</v>
      </c>
      <c r="O103" s="14">
        <v>-26847.03</v>
      </c>
      <c r="P103" s="14">
        <v>0</v>
      </c>
      <c r="Q103" s="14">
        <v>0</v>
      </c>
      <c r="R103" s="14">
        <v>0</v>
      </c>
      <c r="S103" s="14">
        <v>-324822.11</v>
      </c>
      <c r="T103" s="12">
        <v>201409</v>
      </c>
      <c r="U103" s="17" t="s">
        <v>240</v>
      </c>
      <c r="V103" s="24">
        <f t="shared" si="5"/>
        <v>-324822.11</v>
      </c>
      <c r="W103" s="24">
        <f t="shared" si="6"/>
        <v>-36091.345555555556</v>
      </c>
      <c r="X103" s="24">
        <f t="shared" si="7"/>
        <v>-108274.03666666667</v>
      </c>
    </row>
    <row r="104" spans="1:2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opLeftCell="C65" workbookViewId="0">
      <selection activeCell="F96" sqref="F96"/>
    </sheetView>
  </sheetViews>
  <sheetFormatPr defaultRowHeight="15" x14ac:dyDescent="0.25"/>
  <cols>
    <col min="1" max="1" width="14.42578125" bestFit="1" customWidth="1"/>
    <col min="2" max="2" width="27.7109375" bestFit="1" customWidth="1"/>
    <col min="3" max="3" width="7" bestFit="1" customWidth="1"/>
    <col min="4" max="4" width="4.140625" bestFit="1" customWidth="1"/>
    <col min="5" max="5" width="12" bestFit="1" customWidth="1"/>
    <col min="6" max="6" width="10.7109375" bestFit="1" customWidth="1"/>
    <col min="7" max="13" width="9.85546875" bestFit="1" customWidth="1"/>
    <col min="14" max="14" width="10.7109375" bestFit="1" customWidth="1"/>
    <col min="15" max="17" width="9.85546875" bestFit="1" customWidth="1"/>
    <col min="18" max="18" width="12" bestFit="1" customWidth="1"/>
    <col min="19" max="19" width="13.85546875" bestFit="1" customWidth="1"/>
    <col min="20" max="20" width="11.42578125" bestFit="1" customWidth="1"/>
  </cols>
  <sheetData>
    <row r="1" spans="1:20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</row>
    <row r="2" spans="1:20" x14ac:dyDescent="0.25">
      <c r="A2" s="8" t="s">
        <v>96</v>
      </c>
      <c r="B2" s="5" t="s">
        <v>194</v>
      </c>
      <c r="C2" s="6" t="s">
        <v>66</v>
      </c>
      <c r="D2" s="6"/>
      <c r="E2" s="7">
        <v>150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150</v>
      </c>
      <c r="S2" s="5">
        <v>201312</v>
      </c>
      <c r="T2" s="15" t="s">
        <v>240</v>
      </c>
    </row>
    <row r="3" spans="1:20" x14ac:dyDescent="0.25">
      <c r="A3" s="9" t="s">
        <v>97</v>
      </c>
      <c r="B3" s="2" t="s">
        <v>195</v>
      </c>
      <c r="C3" s="3" t="s">
        <v>66</v>
      </c>
      <c r="D3" s="3"/>
      <c r="E3" s="4">
        <v>76601.600000000006</v>
      </c>
      <c r="F3" s="4">
        <v>-4823.08</v>
      </c>
      <c r="G3" s="4">
        <v>39977.160000000003</v>
      </c>
      <c r="H3" s="4">
        <v>-44604.35</v>
      </c>
      <c r="I3" s="4">
        <v>-43356.37</v>
      </c>
      <c r="J3" s="4">
        <v>10933.69</v>
      </c>
      <c r="K3" s="4">
        <v>2030.79</v>
      </c>
      <c r="L3" s="4">
        <v>18739.23</v>
      </c>
      <c r="M3" s="4">
        <v>-10718.19</v>
      </c>
      <c r="N3" s="4">
        <v>21387.42</v>
      </c>
      <c r="O3" s="4">
        <v>-21802.14</v>
      </c>
      <c r="P3" s="4">
        <v>33366.550000000003</v>
      </c>
      <c r="Q3" s="4">
        <v>16166.42</v>
      </c>
      <c r="R3" s="4">
        <v>93898.73</v>
      </c>
      <c r="S3" s="2">
        <v>201312</v>
      </c>
      <c r="T3" s="16" t="s">
        <v>240</v>
      </c>
    </row>
    <row r="4" spans="1:20" x14ac:dyDescent="0.25">
      <c r="A4" s="9" t="s">
        <v>98</v>
      </c>
      <c r="B4" s="2" t="s">
        <v>20</v>
      </c>
      <c r="C4" s="3" t="s">
        <v>66</v>
      </c>
      <c r="D4" s="3"/>
      <c r="E4" s="4">
        <v>-7326.27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-7326.27</v>
      </c>
      <c r="S4" s="2">
        <v>201312</v>
      </c>
      <c r="T4" s="16" t="s">
        <v>240</v>
      </c>
    </row>
    <row r="5" spans="1:20" x14ac:dyDescent="0.25">
      <c r="A5" s="9" t="s">
        <v>99</v>
      </c>
      <c r="B5" s="2" t="s">
        <v>21</v>
      </c>
      <c r="C5" s="3" t="s">
        <v>66</v>
      </c>
      <c r="D5" s="3"/>
      <c r="E5" s="4">
        <v>7326.42</v>
      </c>
      <c r="F5" s="4">
        <v>-20</v>
      </c>
      <c r="G5" s="4">
        <v>-4792.7</v>
      </c>
      <c r="H5" s="4">
        <v>6612.78</v>
      </c>
      <c r="I5" s="4">
        <v>-4541.22</v>
      </c>
      <c r="J5" s="4">
        <v>-206.84</v>
      </c>
      <c r="K5" s="4">
        <v>19941.189999999999</v>
      </c>
      <c r="L5" s="4">
        <v>310</v>
      </c>
      <c r="M5" s="4">
        <v>0</v>
      </c>
      <c r="N5" s="4">
        <v>-671.95</v>
      </c>
      <c r="O5" s="4">
        <v>-100</v>
      </c>
      <c r="P5" s="4">
        <v>-300</v>
      </c>
      <c r="Q5" s="4">
        <v>-3787.79</v>
      </c>
      <c r="R5" s="4">
        <v>19769.89</v>
      </c>
      <c r="S5" s="2">
        <v>201312</v>
      </c>
      <c r="T5" s="16" t="s">
        <v>240</v>
      </c>
    </row>
    <row r="6" spans="1:20" x14ac:dyDescent="0.25">
      <c r="A6" s="9" t="s">
        <v>100</v>
      </c>
      <c r="B6" s="2" t="s">
        <v>22</v>
      </c>
      <c r="C6" s="3" t="s">
        <v>66</v>
      </c>
      <c r="D6" s="3"/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2">
        <v>201312</v>
      </c>
      <c r="T6" s="16" t="s">
        <v>240</v>
      </c>
    </row>
    <row r="7" spans="1:20" x14ac:dyDescent="0.25">
      <c r="A7" s="9" t="s">
        <v>101</v>
      </c>
      <c r="B7" s="2" t="s">
        <v>196</v>
      </c>
      <c r="C7" s="3" t="s">
        <v>66</v>
      </c>
      <c r="D7" s="3"/>
      <c r="E7" s="4">
        <v>6514.29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6514.29</v>
      </c>
      <c r="S7" s="2">
        <v>201312</v>
      </c>
      <c r="T7" s="16" t="s">
        <v>240</v>
      </c>
    </row>
    <row r="8" spans="1:20" x14ac:dyDescent="0.25">
      <c r="A8" s="9" t="s">
        <v>102</v>
      </c>
      <c r="B8" s="2" t="s">
        <v>23</v>
      </c>
      <c r="C8" s="3" t="s">
        <v>66</v>
      </c>
      <c r="D8" s="3"/>
      <c r="E8" s="4">
        <v>36746.28</v>
      </c>
      <c r="F8" s="4">
        <v>3.12</v>
      </c>
      <c r="G8" s="4">
        <v>2.82</v>
      </c>
      <c r="H8" s="4">
        <v>2.92</v>
      </c>
      <c r="I8" s="4">
        <v>3.22</v>
      </c>
      <c r="J8" s="4">
        <v>3.12</v>
      </c>
      <c r="K8" s="4">
        <v>2.82</v>
      </c>
      <c r="L8" s="4">
        <v>3.32</v>
      </c>
      <c r="M8" s="4">
        <v>3.02</v>
      </c>
      <c r="N8" s="4">
        <v>3.12</v>
      </c>
      <c r="O8" s="4">
        <v>3.12</v>
      </c>
      <c r="P8" s="4">
        <v>2.92</v>
      </c>
      <c r="Q8" s="4">
        <v>553.23</v>
      </c>
      <c r="R8" s="4">
        <v>37333.03</v>
      </c>
      <c r="S8" s="2">
        <v>201312</v>
      </c>
      <c r="T8" s="16" t="s">
        <v>240</v>
      </c>
    </row>
    <row r="9" spans="1:20" x14ac:dyDescent="0.25">
      <c r="A9" s="9" t="s">
        <v>103</v>
      </c>
      <c r="B9" s="2" t="s">
        <v>197</v>
      </c>
      <c r="C9" s="3" t="s">
        <v>66</v>
      </c>
      <c r="D9" s="3"/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2">
        <v>201312</v>
      </c>
      <c r="T9" s="16" t="s">
        <v>240</v>
      </c>
    </row>
    <row r="10" spans="1:20" x14ac:dyDescent="0.25">
      <c r="A10" s="9" t="s">
        <v>104</v>
      </c>
      <c r="B10" s="2" t="s">
        <v>24</v>
      </c>
      <c r="C10" s="3" t="s">
        <v>66</v>
      </c>
      <c r="D10" s="3"/>
      <c r="E10" s="4">
        <v>118144.53</v>
      </c>
      <c r="F10" s="4">
        <v>3015.31</v>
      </c>
      <c r="G10" s="4">
        <v>3014.2</v>
      </c>
      <c r="H10" s="4">
        <v>3015.07</v>
      </c>
      <c r="I10" s="4">
        <v>3017.05</v>
      </c>
      <c r="J10" s="4">
        <v>3016.95</v>
      </c>
      <c r="K10" s="4">
        <v>3015.6</v>
      </c>
      <c r="L10" s="4">
        <v>3018.81</v>
      </c>
      <c r="M10" s="4">
        <v>3017.53</v>
      </c>
      <c r="N10" s="4">
        <v>3018.44</v>
      </c>
      <c r="O10" s="4">
        <v>3018.86</v>
      </c>
      <c r="P10" s="4">
        <v>3017.95</v>
      </c>
      <c r="Q10" s="4">
        <v>3020.22</v>
      </c>
      <c r="R10" s="4">
        <v>154350.51999999999</v>
      </c>
      <c r="S10" s="2">
        <v>201312</v>
      </c>
      <c r="T10" s="16" t="s">
        <v>240</v>
      </c>
    </row>
    <row r="11" spans="1:20" x14ac:dyDescent="0.25">
      <c r="A11" s="9" t="s">
        <v>105</v>
      </c>
      <c r="B11" s="2" t="s">
        <v>198</v>
      </c>
      <c r="C11" s="3" t="s">
        <v>66</v>
      </c>
      <c r="D11" s="3"/>
      <c r="E11" s="4">
        <v>344596.16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344596.16</v>
      </c>
      <c r="S11" s="2">
        <v>201312</v>
      </c>
      <c r="T11" s="16" t="s">
        <v>240</v>
      </c>
    </row>
    <row r="12" spans="1:20" x14ac:dyDescent="0.25">
      <c r="A12" s="9" t="s">
        <v>106</v>
      </c>
      <c r="B12" s="2" t="s">
        <v>199</v>
      </c>
      <c r="C12" s="3" t="s">
        <v>66</v>
      </c>
      <c r="D12" s="3"/>
      <c r="E12" s="4">
        <v>3216151.2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3216151.2</v>
      </c>
      <c r="S12" s="2">
        <v>201312</v>
      </c>
      <c r="T12" s="16" t="s">
        <v>240</v>
      </c>
    </row>
    <row r="13" spans="1:20" x14ac:dyDescent="0.25">
      <c r="A13" s="9" t="s">
        <v>107</v>
      </c>
      <c r="B13" s="2" t="s">
        <v>25</v>
      </c>
      <c r="C13" s="3" t="s">
        <v>66</v>
      </c>
      <c r="D13" s="3"/>
      <c r="E13" s="4">
        <v>188933.91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188933.91</v>
      </c>
      <c r="S13" s="2">
        <v>201312</v>
      </c>
      <c r="T13" s="16" t="s">
        <v>240</v>
      </c>
    </row>
    <row r="14" spans="1:20" x14ac:dyDescent="0.25">
      <c r="A14" s="9" t="s">
        <v>108</v>
      </c>
      <c r="B14" s="2" t="s">
        <v>200</v>
      </c>
      <c r="C14" s="3" t="s">
        <v>66</v>
      </c>
      <c r="D14" s="3"/>
      <c r="E14" s="4">
        <v>237394.89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-130205.5</v>
      </c>
      <c r="O14" s="4">
        <v>0</v>
      </c>
      <c r="P14" s="4">
        <v>0</v>
      </c>
      <c r="Q14" s="4">
        <v>0</v>
      </c>
      <c r="R14" s="4">
        <v>107189.39</v>
      </c>
      <c r="S14" s="2">
        <v>201312</v>
      </c>
      <c r="T14" s="16" t="s">
        <v>240</v>
      </c>
    </row>
    <row r="15" spans="1:20" x14ac:dyDescent="0.25">
      <c r="A15" s="9" t="s">
        <v>109</v>
      </c>
      <c r="B15" s="2" t="s">
        <v>201</v>
      </c>
      <c r="C15" s="3" t="s">
        <v>66</v>
      </c>
      <c r="D15" s="3"/>
      <c r="E15" s="4">
        <v>84718.99</v>
      </c>
      <c r="F15" s="4">
        <v>0</v>
      </c>
      <c r="G15" s="4">
        <v>0</v>
      </c>
      <c r="H15" s="4">
        <v>564</v>
      </c>
      <c r="I15" s="4">
        <v>2717</v>
      </c>
      <c r="J15" s="4">
        <v>651</v>
      </c>
      <c r="K15" s="4">
        <v>1620</v>
      </c>
      <c r="L15" s="4">
        <v>0</v>
      </c>
      <c r="M15" s="4">
        <v>0</v>
      </c>
      <c r="N15" s="4">
        <v>2736</v>
      </c>
      <c r="O15" s="4">
        <v>0</v>
      </c>
      <c r="P15" s="4">
        <v>1391</v>
      </c>
      <c r="Q15" s="4">
        <v>564</v>
      </c>
      <c r="R15" s="4">
        <v>94961.99</v>
      </c>
      <c r="S15" s="2">
        <v>201312</v>
      </c>
      <c r="T15" s="16" t="s">
        <v>240</v>
      </c>
    </row>
    <row r="16" spans="1:20" x14ac:dyDescent="0.25">
      <c r="A16" s="9" t="s">
        <v>110</v>
      </c>
      <c r="B16" s="2" t="s">
        <v>202</v>
      </c>
      <c r="C16" s="3" t="s">
        <v>66</v>
      </c>
      <c r="D16" s="3"/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">
        <v>201312</v>
      </c>
      <c r="T16" s="16" t="s">
        <v>240</v>
      </c>
    </row>
    <row r="17" spans="1:20" x14ac:dyDescent="0.25">
      <c r="A17" s="9" t="s">
        <v>111</v>
      </c>
      <c r="B17" s="2" t="s">
        <v>64</v>
      </c>
      <c r="C17" s="3" t="s">
        <v>66</v>
      </c>
      <c r="D17" s="3"/>
      <c r="E17" s="4">
        <v>600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600</v>
      </c>
      <c r="S17" s="2">
        <v>201312</v>
      </c>
      <c r="T17" s="16" t="s">
        <v>240</v>
      </c>
    </row>
    <row r="18" spans="1:20" x14ac:dyDescent="0.25">
      <c r="A18" s="9" t="s">
        <v>112</v>
      </c>
      <c r="B18" s="2" t="s">
        <v>26</v>
      </c>
      <c r="C18" s="3" t="s">
        <v>66</v>
      </c>
      <c r="D18" s="3"/>
      <c r="E18" s="4">
        <v>166956.41</v>
      </c>
      <c r="F18" s="4">
        <v>112.5</v>
      </c>
      <c r="G18" s="4">
        <v>1527.09</v>
      </c>
      <c r="H18" s="4">
        <v>1510.08</v>
      </c>
      <c r="I18" s="4">
        <v>1046.95</v>
      </c>
      <c r="J18" s="4">
        <v>2328.7199999999998</v>
      </c>
      <c r="K18" s="4">
        <v>-835.04</v>
      </c>
      <c r="L18" s="4">
        <v>2569.65</v>
      </c>
      <c r="M18" s="4">
        <v>3025.74</v>
      </c>
      <c r="N18" s="4">
        <v>-81034.23</v>
      </c>
      <c r="O18" s="4">
        <v>137.84</v>
      </c>
      <c r="P18" s="4">
        <v>0</v>
      </c>
      <c r="Q18" s="4">
        <v>173.05</v>
      </c>
      <c r="R18" s="4">
        <v>97518.76</v>
      </c>
      <c r="S18" s="2">
        <v>201312</v>
      </c>
      <c r="T18" s="16" t="s">
        <v>240</v>
      </c>
    </row>
    <row r="19" spans="1:20" x14ac:dyDescent="0.25">
      <c r="A19" s="9" t="s">
        <v>113</v>
      </c>
      <c r="B19" s="2" t="s">
        <v>65</v>
      </c>
      <c r="C19" s="3" t="s">
        <v>66</v>
      </c>
      <c r="D19" s="3"/>
      <c r="E19" s="4">
        <v>45157.05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-2500</v>
      </c>
      <c r="O19" s="4">
        <v>0</v>
      </c>
      <c r="P19" s="4">
        <v>0</v>
      </c>
      <c r="Q19" s="4">
        <v>0</v>
      </c>
      <c r="R19" s="4">
        <v>42657.05</v>
      </c>
      <c r="S19" s="2">
        <v>201312</v>
      </c>
      <c r="T19" s="16" t="s">
        <v>240</v>
      </c>
    </row>
    <row r="20" spans="1:20" x14ac:dyDescent="0.25">
      <c r="A20" s="9" t="s">
        <v>114</v>
      </c>
      <c r="B20" s="2" t="s">
        <v>27</v>
      </c>
      <c r="C20" s="3" t="s">
        <v>67</v>
      </c>
      <c r="D20" s="3"/>
      <c r="E20" s="4">
        <v>-883041.48</v>
      </c>
      <c r="F20" s="4">
        <v>-7256.87</v>
      </c>
      <c r="G20" s="4">
        <v>-26259.4</v>
      </c>
      <c r="H20" s="4">
        <v>46336.87</v>
      </c>
      <c r="I20" s="4">
        <v>47692.89</v>
      </c>
      <c r="J20" s="4">
        <v>-8116.26</v>
      </c>
      <c r="K20" s="4">
        <v>3023.5</v>
      </c>
      <c r="L20" s="4">
        <v>-10789.91</v>
      </c>
      <c r="M20" s="4">
        <v>6470.32</v>
      </c>
      <c r="N20" s="4">
        <v>-10768.02</v>
      </c>
      <c r="O20" s="4">
        <v>24915.18</v>
      </c>
      <c r="P20" s="4">
        <v>-12655.33</v>
      </c>
      <c r="Q20" s="4">
        <v>9559.61</v>
      </c>
      <c r="R20" s="4">
        <v>-820888.9</v>
      </c>
      <c r="S20" s="2">
        <v>201312</v>
      </c>
      <c r="T20" s="16" t="s">
        <v>240</v>
      </c>
    </row>
    <row r="21" spans="1:20" x14ac:dyDescent="0.25">
      <c r="A21" s="9" t="s">
        <v>115</v>
      </c>
      <c r="B21" s="2" t="s">
        <v>28</v>
      </c>
      <c r="C21" s="3" t="s">
        <v>67</v>
      </c>
      <c r="D21" s="3"/>
      <c r="E21" s="4">
        <v>-9334.51</v>
      </c>
      <c r="F21" s="4">
        <v>9334.51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-8834.76</v>
      </c>
      <c r="R21" s="4">
        <v>-8834.76</v>
      </c>
      <c r="S21" s="2">
        <v>201312</v>
      </c>
      <c r="T21" s="16" t="s">
        <v>240</v>
      </c>
    </row>
    <row r="22" spans="1:20" x14ac:dyDescent="0.25">
      <c r="A22" s="9" t="s">
        <v>116</v>
      </c>
      <c r="B22" s="2" t="s">
        <v>29</v>
      </c>
      <c r="C22" s="3" t="s">
        <v>67</v>
      </c>
      <c r="D22" s="3"/>
      <c r="E22" s="4">
        <v>-45577.03</v>
      </c>
      <c r="F22" s="4">
        <v>-3553.94</v>
      </c>
      <c r="G22" s="4">
        <v>-3968.59</v>
      </c>
      <c r="H22" s="4">
        <v>9296.83</v>
      </c>
      <c r="I22" s="4">
        <v>150.97</v>
      </c>
      <c r="J22" s="4">
        <v>-3122</v>
      </c>
      <c r="K22" s="4">
        <v>-54.98</v>
      </c>
      <c r="L22" s="4">
        <v>-3618.95</v>
      </c>
      <c r="M22" s="4">
        <v>3716.08</v>
      </c>
      <c r="N22" s="4">
        <v>-3490.44</v>
      </c>
      <c r="O22" s="4">
        <v>10921.81</v>
      </c>
      <c r="P22" s="4">
        <v>-3278.51</v>
      </c>
      <c r="Q22" s="4">
        <v>3562.83</v>
      </c>
      <c r="R22" s="4">
        <v>-39015.919999999998</v>
      </c>
      <c r="S22" s="2">
        <v>201312</v>
      </c>
      <c r="T22" s="16" t="s">
        <v>240</v>
      </c>
    </row>
    <row r="23" spans="1:20" x14ac:dyDescent="0.25">
      <c r="A23" s="9" t="s">
        <v>117</v>
      </c>
      <c r="B23" s="2" t="s">
        <v>30</v>
      </c>
      <c r="C23" s="3" t="s">
        <v>67</v>
      </c>
      <c r="D23" s="3"/>
      <c r="E23" s="4">
        <v>-24110</v>
      </c>
      <c r="F23" s="4">
        <v>-250</v>
      </c>
      <c r="G23" s="4">
        <v>-750</v>
      </c>
      <c r="H23" s="4">
        <v>1048</v>
      </c>
      <c r="I23" s="4">
        <v>-500</v>
      </c>
      <c r="J23" s="4">
        <v>-250</v>
      </c>
      <c r="K23" s="4">
        <v>693</v>
      </c>
      <c r="L23" s="4">
        <v>-2000</v>
      </c>
      <c r="M23" s="4">
        <v>-1000</v>
      </c>
      <c r="N23" s="4">
        <v>2198</v>
      </c>
      <c r="O23" s="4">
        <v>0</v>
      </c>
      <c r="P23" s="4">
        <v>-750</v>
      </c>
      <c r="Q23" s="4">
        <v>1150</v>
      </c>
      <c r="R23" s="4">
        <v>-24521</v>
      </c>
      <c r="S23" s="2">
        <v>201312</v>
      </c>
      <c r="T23" s="16" t="s">
        <v>240</v>
      </c>
    </row>
    <row r="24" spans="1:20" x14ac:dyDescent="0.25">
      <c r="A24" s="9" t="s">
        <v>118</v>
      </c>
      <c r="B24" s="2" t="s">
        <v>203</v>
      </c>
      <c r="C24" s="3" t="s">
        <v>67</v>
      </c>
      <c r="D24" s="3"/>
      <c r="E24" s="4">
        <v>-11600</v>
      </c>
      <c r="F24" s="4">
        <v>-100</v>
      </c>
      <c r="G24" s="4">
        <v>-500</v>
      </c>
      <c r="H24" s="4">
        <v>200</v>
      </c>
      <c r="I24" s="4">
        <v>-400</v>
      </c>
      <c r="J24" s="4">
        <v>-800</v>
      </c>
      <c r="K24" s="4">
        <v>1000</v>
      </c>
      <c r="L24" s="4">
        <v>-500</v>
      </c>
      <c r="M24" s="4">
        <v>-1000</v>
      </c>
      <c r="N24" s="4">
        <v>360</v>
      </c>
      <c r="O24" s="4">
        <v>-100</v>
      </c>
      <c r="P24" s="4">
        <v>-300</v>
      </c>
      <c r="Q24" s="4">
        <v>1035</v>
      </c>
      <c r="R24" s="4">
        <v>-12705</v>
      </c>
      <c r="S24" s="2">
        <v>201312</v>
      </c>
      <c r="T24" s="16" t="s">
        <v>240</v>
      </c>
    </row>
    <row r="25" spans="1:20" x14ac:dyDescent="0.25">
      <c r="A25" s="9" t="s">
        <v>119</v>
      </c>
      <c r="B25" s="2" t="s">
        <v>204</v>
      </c>
      <c r="C25" s="3" t="s">
        <v>67</v>
      </c>
      <c r="D25" s="3"/>
      <c r="E25" s="4">
        <v>-5477</v>
      </c>
      <c r="F25" s="4">
        <v>5477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2">
        <v>201312</v>
      </c>
      <c r="T25" s="16" t="s">
        <v>240</v>
      </c>
    </row>
    <row r="26" spans="1:20" x14ac:dyDescent="0.25">
      <c r="A26" s="9" t="s">
        <v>120</v>
      </c>
      <c r="B26" s="2" t="s">
        <v>205</v>
      </c>
      <c r="C26" s="3" t="s">
        <v>67</v>
      </c>
      <c r="D26" s="3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2">
        <v>201312</v>
      </c>
      <c r="T26" s="16" t="s">
        <v>240</v>
      </c>
    </row>
    <row r="27" spans="1:20" x14ac:dyDescent="0.25">
      <c r="A27" s="9" t="s">
        <v>121</v>
      </c>
      <c r="B27" s="2" t="s">
        <v>206</v>
      </c>
      <c r="C27" s="3" t="s">
        <v>67</v>
      </c>
      <c r="D27" s="3"/>
      <c r="E27" s="4">
        <v>-1124599.1599999999</v>
      </c>
      <c r="F27" s="4">
        <v>36838.550000000003</v>
      </c>
      <c r="G27" s="4">
        <v>18505.66</v>
      </c>
      <c r="H27" s="4">
        <v>18563.490000000002</v>
      </c>
      <c r="I27" s="4">
        <v>18621.5</v>
      </c>
      <c r="J27" s="4">
        <v>18679.7</v>
      </c>
      <c r="K27" s="4">
        <v>18738.07</v>
      </c>
      <c r="L27" s="4">
        <v>18796.63</v>
      </c>
      <c r="M27" s="4">
        <v>18855.37</v>
      </c>
      <c r="N27" s="4">
        <v>18914.29</v>
      </c>
      <c r="O27" s="4">
        <v>18973.400000000001</v>
      </c>
      <c r="P27" s="4">
        <v>19032.689999999999</v>
      </c>
      <c r="Q27" s="4">
        <v>0</v>
      </c>
      <c r="R27" s="4">
        <v>-900079.81</v>
      </c>
      <c r="S27" s="2">
        <v>201312</v>
      </c>
      <c r="T27" s="16" t="s">
        <v>240</v>
      </c>
    </row>
    <row r="28" spans="1:20" x14ac:dyDescent="0.25">
      <c r="A28" s="9" t="s">
        <v>122</v>
      </c>
      <c r="B28" s="2" t="s">
        <v>31</v>
      </c>
      <c r="C28" s="3" t="s">
        <v>66</v>
      </c>
      <c r="D28" s="3"/>
      <c r="E28" s="4">
        <v>-1721220.89</v>
      </c>
      <c r="F28" s="4">
        <v>-10966.93</v>
      </c>
      <c r="G28" s="4">
        <v>-10966.93</v>
      </c>
      <c r="H28" s="4">
        <v>-10966.93</v>
      </c>
      <c r="I28" s="4">
        <v>-10966.93</v>
      </c>
      <c r="J28" s="4">
        <v>-10814.11</v>
      </c>
      <c r="K28" s="4">
        <v>-10936.37</v>
      </c>
      <c r="L28" s="4">
        <v>-10654.71</v>
      </c>
      <c r="M28" s="4">
        <v>-10916.25</v>
      </c>
      <c r="N28" s="4">
        <v>194419.15</v>
      </c>
      <c r="O28" s="4">
        <v>-10561.04</v>
      </c>
      <c r="P28" s="4">
        <v>-10561.04</v>
      </c>
      <c r="Q28" s="4">
        <v>-8373.7000000000007</v>
      </c>
      <c r="R28" s="4">
        <v>-1643486.68</v>
      </c>
      <c r="S28" s="2">
        <v>201312</v>
      </c>
      <c r="T28" s="16" t="s">
        <v>240</v>
      </c>
    </row>
    <row r="29" spans="1:20" x14ac:dyDescent="0.25">
      <c r="A29" s="9" t="s">
        <v>123</v>
      </c>
      <c r="B29" s="2" t="s">
        <v>207</v>
      </c>
      <c r="C29" s="3" t="s">
        <v>67</v>
      </c>
      <c r="D29" s="3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2">
        <v>201312</v>
      </c>
      <c r="T29" s="16" t="s">
        <v>240</v>
      </c>
    </row>
    <row r="30" spans="1:20" x14ac:dyDescent="0.25">
      <c r="A30" s="9" t="s">
        <v>124</v>
      </c>
      <c r="B30" s="2" t="s">
        <v>208</v>
      </c>
      <c r="C30" s="3" t="s">
        <v>67</v>
      </c>
      <c r="D30" s="3"/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">
        <v>201312</v>
      </c>
      <c r="T30" s="16" t="s">
        <v>240</v>
      </c>
    </row>
    <row r="31" spans="1:20" x14ac:dyDescent="0.25">
      <c r="A31" s="9" t="s">
        <v>125</v>
      </c>
      <c r="B31" s="2" t="s">
        <v>209</v>
      </c>
      <c r="C31" s="3" t="s">
        <v>67</v>
      </c>
      <c r="D31" s="3"/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">
        <v>201312</v>
      </c>
      <c r="T31" s="16" t="s">
        <v>240</v>
      </c>
    </row>
    <row r="32" spans="1:20" x14ac:dyDescent="0.25">
      <c r="A32" s="9" t="s">
        <v>126</v>
      </c>
      <c r="B32" s="2" t="s">
        <v>210</v>
      </c>
      <c r="C32" s="3" t="s">
        <v>67</v>
      </c>
      <c r="D32" s="3"/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2">
        <v>201312</v>
      </c>
      <c r="T32" s="16" t="s">
        <v>240</v>
      </c>
    </row>
    <row r="33" spans="1:20" x14ac:dyDescent="0.25">
      <c r="A33" s="9" t="s">
        <v>127</v>
      </c>
      <c r="B33" s="2" t="s">
        <v>211</v>
      </c>
      <c r="C33" s="3" t="s">
        <v>67</v>
      </c>
      <c r="D33" s="3"/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2">
        <v>201312</v>
      </c>
      <c r="T33" s="16" t="s">
        <v>240</v>
      </c>
    </row>
    <row r="34" spans="1:20" x14ac:dyDescent="0.25">
      <c r="A34" s="9" t="s">
        <v>128</v>
      </c>
      <c r="B34" s="2" t="s">
        <v>212</v>
      </c>
      <c r="C34" s="3" t="s">
        <v>67</v>
      </c>
      <c r="D34" s="3"/>
      <c r="E34" s="4">
        <v>129159.81</v>
      </c>
      <c r="F34" s="4">
        <v>257982.91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387142.72</v>
      </c>
      <c r="S34" s="2">
        <v>201312</v>
      </c>
      <c r="T34" s="16" t="s">
        <v>240</v>
      </c>
    </row>
    <row r="35" spans="1:20" x14ac:dyDescent="0.25">
      <c r="A35" s="9" t="s">
        <v>129</v>
      </c>
      <c r="B35" s="2" t="s">
        <v>213</v>
      </c>
      <c r="C35" s="3" t="s">
        <v>67</v>
      </c>
      <c r="D35" s="3"/>
      <c r="E35" s="4">
        <v>-293000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-293000</v>
      </c>
      <c r="S35" s="2">
        <v>201312</v>
      </c>
      <c r="T35" s="16" t="s">
        <v>240</v>
      </c>
    </row>
    <row r="36" spans="1:20" x14ac:dyDescent="0.25">
      <c r="A36" s="9" t="s">
        <v>130</v>
      </c>
      <c r="B36" s="2" t="s">
        <v>32</v>
      </c>
      <c r="C36" s="3" t="s">
        <v>67</v>
      </c>
      <c r="D36" s="3"/>
      <c r="E36" s="4">
        <v>418982.41</v>
      </c>
      <c r="F36" s="4">
        <v>-257982.91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160999.5</v>
      </c>
      <c r="S36" s="2">
        <v>201312</v>
      </c>
      <c r="T36" s="16" t="s">
        <v>240</v>
      </c>
    </row>
    <row r="37" spans="1:20" x14ac:dyDescent="0.25">
      <c r="A37" s="9" t="s">
        <v>131</v>
      </c>
      <c r="B37" s="2" t="s">
        <v>214</v>
      </c>
      <c r="C37" s="3" t="s">
        <v>67</v>
      </c>
      <c r="D37" s="3"/>
      <c r="E37" s="4">
        <v>-565702.05000000005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-565702.05000000005</v>
      </c>
      <c r="S37" s="2">
        <v>201312</v>
      </c>
      <c r="T37" s="16" t="s">
        <v>240</v>
      </c>
    </row>
    <row r="38" spans="1:20" x14ac:dyDescent="0.25">
      <c r="A38" s="9" t="s">
        <v>132</v>
      </c>
      <c r="B38" s="2" t="s">
        <v>33</v>
      </c>
      <c r="C38" s="3" t="s">
        <v>68</v>
      </c>
      <c r="D38" s="3"/>
      <c r="E38" s="4">
        <v>0</v>
      </c>
      <c r="F38" s="4">
        <v>-69385.33</v>
      </c>
      <c r="G38" s="4">
        <v>-67037.64</v>
      </c>
      <c r="H38" s="4">
        <v>-63816.78</v>
      </c>
      <c r="I38" s="4">
        <v>-65941.84</v>
      </c>
      <c r="J38" s="4">
        <v>-60269.87</v>
      </c>
      <c r="K38" s="4">
        <v>-74822.19</v>
      </c>
      <c r="L38" s="4">
        <v>-71363.649999999994</v>
      </c>
      <c r="M38" s="4">
        <v>-62324.74</v>
      </c>
      <c r="N38" s="4">
        <v>-68371.16</v>
      </c>
      <c r="O38" s="4">
        <v>-66418</v>
      </c>
      <c r="P38" s="4">
        <v>-67326</v>
      </c>
      <c r="Q38" s="4">
        <v>-77603.83</v>
      </c>
      <c r="R38" s="4">
        <v>-814681.03</v>
      </c>
      <c r="S38" s="2">
        <v>201312</v>
      </c>
      <c r="T38" s="16" t="s">
        <v>240</v>
      </c>
    </row>
    <row r="39" spans="1:20" x14ac:dyDescent="0.25">
      <c r="A39" s="9" t="s">
        <v>133</v>
      </c>
      <c r="B39" s="2" t="s">
        <v>215</v>
      </c>
      <c r="C39" s="3" t="s">
        <v>68</v>
      </c>
      <c r="D39" s="3"/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2">
        <v>201312</v>
      </c>
      <c r="T39" s="16" t="s">
        <v>240</v>
      </c>
    </row>
    <row r="40" spans="1:20" x14ac:dyDescent="0.25">
      <c r="A40" s="9" t="s">
        <v>134</v>
      </c>
      <c r="B40" s="2" t="s">
        <v>216</v>
      </c>
      <c r="C40" s="3" t="s">
        <v>68</v>
      </c>
      <c r="D40" s="3"/>
      <c r="E40" s="4">
        <v>0</v>
      </c>
      <c r="F40" s="4">
        <v>-2915</v>
      </c>
      <c r="G40" s="4">
        <v>-3132.5</v>
      </c>
      <c r="H40" s="4">
        <v>-3237.91</v>
      </c>
      <c r="I40" s="4">
        <v>-3254.51</v>
      </c>
      <c r="J40" s="4">
        <v>-2861.94</v>
      </c>
      <c r="K40" s="4">
        <v>-3604</v>
      </c>
      <c r="L40" s="4">
        <v>-3269.38</v>
      </c>
      <c r="M40" s="4">
        <v>-2921.3</v>
      </c>
      <c r="N40" s="4">
        <v>-3007.67</v>
      </c>
      <c r="O40" s="4">
        <v>-3177</v>
      </c>
      <c r="P40" s="4">
        <v>-3116.23</v>
      </c>
      <c r="Q40" s="4">
        <v>-3439.49</v>
      </c>
      <c r="R40" s="4">
        <v>-37936.93</v>
      </c>
      <c r="S40" s="2">
        <v>201312</v>
      </c>
      <c r="T40" s="16" t="s">
        <v>240</v>
      </c>
    </row>
    <row r="41" spans="1:20" x14ac:dyDescent="0.25">
      <c r="A41" s="9" t="s">
        <v>135</v>
      </c>
      <c r="B41" s="2" t="s">
        <v>34</v>
      </c>
      <c r="C41" s="3" t="s">
        <v>68</v>
      </c>
      <c r="D41" s="3"/>
      <c r="E41" s="4">
        <v>0</v>
      </c>
      <c r="F41" s="4">
        <v>1764</v>
      </c>
      <c r="G41" s="4">
        <v>2307</v>
      </c>
      <c r="H41" s="4">
        <v>-2618.58</v>
      </c>
      <c r="I41" s="4">
        <v>0</v>
      </c>
      <c r="J41" s="4">
        <v>0</v>
      </c>
      <c r="K41" s="4">
        <v>467.78</v>
      </c>
      <c r="L41" s="4">
        <v>2171</v>
      </c>
      <c r="M41" s="4">
        <v>1400</v>
      </c>
      <c r="N41" s="4">
        <v>5272.78</v>
      </c>
      <c r="O41" s="4">
        <v>0</v>
      </c>
      <c r="P41" s="4">
        <v>1815</v>
      </c>
      <c r="Q41" s="4">
        <v>-2144.3200000000002</v>
      </c>
      <c r="R41" s="4">
        <v>10434.66</v>
      </c>
      <c r="S41" s="2">
        <v>201312</v>
      </c>
      <c r="T41" s="16" t="s">
        <v>240</v>
      </c>
    </row>
    <row r="42" spans="1:20" x14ac:dyDescent="0.25">
      <c r="A42" s="9" t="s">
        <v>136</v>
      </c>
      <c r="B42" s="2" t="s">
        <v>35</v>
      </c>
      <c r="C42" s="3" t="s">
        <v>68</v>
      </c>
      <c r="D42" s="3"/>
      <c r="E42" s="4">
        <v>0</v>
      </c>
      <c r="F42" s="4">
        <v>-18.43</v>
      </c>
      <c r="G42" s="4">
        <v>-17.02</v>
      </c>
      <c r="H42" s="4">
        <v>-17.989999999999998</v>
      </c>
      <c r="I42" s="4">
        <v>-20.27</v>
      </c>
      <c r="J42" s="4">
        <v>-20.07</v>
      </c>
      <c r="K42" s="4">
        <v>-18.420000000000002</v>
      </c>
      <c r="L42" s="4">
        <v>-22.13</v>
      </c>
      <c r="M42" s="4">
        <v>-20.55</v>
      </c>
      <c r="N42" s="4">
        <v>-21.56</v>
      </c>
      <c r="O42" s="4">
        <v>-21.98</v>
      </c>
      <c r="P42" s="4">
        <v>-20.87</v>
      </c>
      <c r="Q42" s="4">
        <v>-23.45</v>
      </c>
      <c r="R42" s="4">
        <v>-242.74</v>
      </c>
      <c r="S42" s="2">
        <v>201312</v>
      </c>
      <c r="T42" s="16" t="s">
        <v>240</v>
      </c>
    </row>
    <row r="43" spans="1:20" x14ac:dyDescent="0.25">
      <c r="A43" s="9" t="s">
        <v>137</v>
      </c>
      <c r="B43" s="2" t="s">
        <v>217</v>
      </c>
      <c r="C43" s="3" t="s">
        <v>68</v>
      </c>
      <c r="D43" s="3"/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2">
        <v>201312</v>
      </c>
      <c r="T43" s="16" t="s">
        <v>240</v>
      </c>
    </row>
    <row r="44" spans="1:20" x14ac:dyDescent="0.25">
      <c r="A44" s="9" t="s">
        <v>138</v>
      </c>
      <c r="B44" s="2" t="s">
        <v>36</v>
      </c>
      <c r="C44" s="3" t="s">
        <v>68</v>
      </c>
      <c r="D44" s="3"/>
      <c r="E44" s="4">
        <v>0</v>
      </c>
      <c r="F44" s="4">
        <v>-603.26</v>
      </c>
      <c r="G44" s="4">
        <v>-961.42</v>
      </c>
      <c r="H44" s="4">
        <v>-889.36</v>
      </c>
      <c r="I44" s="4">
        <v>-893.71</v>
      </c>
      <c r="J44" s="4">
        <v>-891.08</v>
      </c>
      <c r="K44" s="4">
        <v>-921.67</v>
      </c>
      <c r="L44" s="4">
        <v>-752.79</v>
      </c>
      <c r="M44" s="4">
        <v>-860.93</v>
      </c>
      <c r="N44" s="4">
        <v>-920.29</v>
      </c>
      <c r="O44" s="4">
        <v>-906.18</v>
      </c>
      <c r="P44" s="4">
        <v>-927.05</v>
      </c>
      <c r="Q44" s="4">
        <v>-759.97</v>
      </c>
      <c r="R44" s="4">
        <v>-10287.709999999999</v>
      </c>
      <c r="S44" s="2">
        <v>201312</v>
      </c>
      <c r="T44" s="16" t="s">
        <v>240</v>
      </c>
    </row>
    <row r="45" spans="1:20" x14ac:dyDescent="0.25">
      <c r="A45" s="9" t="s">
        <v>139</v>
      </c>
      <c r="B45" s="2" t="s">
        <v>37</v>
      </c>
      <c r="C45" s="3" t="s">
        <v>68</v>
      </c>
      <c r="D45" s="3"/>
      <c r="E45" s="4">
        <v>0</v>
      </c>
      <c r="F45" s="4">
        <v>-1310</v>
      </c>
      <c r="G45" s="4">
        <v>-1005</v>
      </c>
      <c r="H45" s="4">
        <v>-1485</v>
      </c>
      <c r="I45" s="4">
        <v>-855</v>
      </c>
      <c r="J45" s="4">
        <v>-710</v>
      </c>
      <c r="K45" s="4">
        <v>-2990</v>
      </c>
      <c r="L45" s="4">
        <v>-435</v>
      </c>
      <c r="M45" s="4">
        <v>-540</v>
      </c>
      <c r="N45" s="4">
        <v>-320</v>
      </c>
      <c r="O45" s="4">
        <v>-205</v>
      </c>
      <c r="P45" s="4">
        <v>-300</v>
      </c>
      <c r="Q45" s="4">
        <v>-1045</v>
      </c>
      <c r="R45" s="4">
        <v>-11200</v>
      </c>
      <c r="S45" s="2">
        <v>201312</v>
      </c>
      <c r="T45" s="16" t="s">
        <v>240</v>
      </c>
    </row>
    <row r="46" spans="1:20" x14ac:dyDescent="0.25">
      <c r="A46" s="9" t="s">
        <v>140</v>
      </c>
      <c r="B46" s="2" t="s">
        <v>218</v>
      </c>
      <c r="C46" s="3" t="s">
        <v>68</v>
      </c>
      <c r="D46" s="3"/>
      <c r="E46" s="4">
        <v>0</v>
      </c>
      <c r="F46" s="4">
        <v>0</v>
      </c>
      <c r="G46" s="4">
        <v>0</v>
      </c>
      <c r="H46" s="4">
        <v>-2810</v>
      </c>
      <c r="I46" s="4">
        <v>0</v>
      </c>
      <c r="J46" s="4">
        <v>0</v>
      </c>
      <c r="K46" s="4">
        <v>-2170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-4980</v>
      </c>
      <c r="S46" s="2">
        <v>201312</v>
      </c>
      <c r="T46" s="16" t="s">
        <v>240</v>
      </c>
    </row>
    <row r="47" spans="1:20" x14ac:dyDescent="0.25">
      <c r="A47" s="9" t="s">
        <v>141</v>
      </c>
      <c r="B47" s="2" t="s">
        <v>219</v>
      </c>
      <c r="C47" s="3" t="s">
        <v>68</v>
      </c>
      <c r="D47" s="3"/>
      <c r="E47" s="4">
        <v>0</v>
      </c>
      <c r="F47" s="4">
        <v>-1544.47</v>
      </c>
      <c r="G47" s="4">
        <v>-12674.42</v>
      </c>
      <c r="H47" s="4">
        <v>-2250.79</v>
      </c>
      <c r="I47" s="4">
        <v>-618.20000000000005</v>
      </c>
      <c r="J47" s="4">
        <v>-568.61</v>
      </c>
      <c r="K47" s="4">
        <v>-1241.71</v>
      </c>
      <c r="L47" s="4">
        <v>-1998.78</v>
      </c>
      <c r="M47" s="4">
        <v>-1050.51</v>
      </c>
      <c r="N47" s="4">
        <v>-617.42999999999995</v>
      </c>
      <c r="O47" s="4">
        <v>-647.1</v>
      </c>
      <c r="P47" s="4">
        <v>-1023.3</v>
      </c>
      <c r="Q47" s="4">
        <v>-1092.3900000000001</v>
      </c>
      <c r="R47" s="4">
        <v>-25327.71</v>
      </c>
      <c r="S47" s="2">
        <v>201312</v>
      </c>
      <c r="T47" s="16" t="s">
        <v>240</v>
      </c>
    </row>
    <row r="48" spans="1:20" x14ac:dyDescent="0.25">
      <c r="A48" s="9" t="s">
        <v>142</v>
      </c>
      <c r="B48" s="2" t="s">
        <v>220</v>
      </c>
      <c r="C48" s="3" t="s">
        <v>68</v>
      </c>
      <c r="D48" s="3"/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2">
        <v>201312</v>
      </c>
      <c r="T48" s="16" t="s">
        <v>240</v>
      </c>
    </row>
    <row r="49" spans="1:20" x14ac:dyDescent="0.25">
      <c r="A49" s="9" t="s">
        <v>143</v>
      </c>
      <c r="B49" s="2" t="s">
        <v>38</v>
      </c>
      <c r="C49" s="3" t="s">
        <v>69</v>
      </c>
      <c r="D49" s="3"/>
      <c r="E49" s="4">
        <v>0</v>
      </c>
      <c r="F49" s="4">
        <v>0</v>
      </c>
      <c r="G49" s="4">
        <v>400</v>
      </c>
      <c r="H49" s="4">
        <v>818</v>
      </c>
      <c r="I49" s="4">
        <v>0</v>
      </c>
      <c r="J49" s="4">
        <v>843</v>
      </c>
      <c r="K49" s="4">
        <v>818</v>
      </c>
      <c r="L49" s="4">
        <v>0</v>
      </c>
      <c r="M49" s="4">
        <v>409</v>
      </c>
      <c r="N49" s="4">
        <v>0</v>
      </c>
      <c r="O49" s="4">
        <v>0</v>
      </c>
      <c r="P49" s="4">
        <v>0</v>
      </c>
      <c r="Q49" s="4">
        <v>409</v>
      </c>
      <c r="R49" s="4">
        <v>3697</v>
      </c>
      <c r="S49" s="2">
        <v>201312</v>
      </c>
      <c r="T49" s="16" t="s">
        <v>240</v>
      </c>
    </row>
    <row r="50" spans="1:20" x14ac:dyDescent="0.25">
      <c r="A50" s="9" t="s">
        <v>144</v>
      </c>
      <c r="B50" s="2" t="s">
        <v>39</v>
      </c>
      <c r="C50" s="3" t="s">
        <v>69</v>
      </c>
      <c r="D50" s="3"/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2">
        <v>201312</v>
      </c>
      <c r="T50" s="16" t="s">
        <v>240</v>
      </c>
    </row>
    <row r="51" spans="1:20" x14ac:dyDescent="0.25">
      <c r="A51" s="9" t="s">
        <v>145</v>
      </c>
      <c r="B51" s="2" t="s">
        <v>40</v>
      </c>
      <c r="C51" s="3" t="s">
        <v>69</v>
      </c>
      <c r="D51" s="3"/>
      <c r="E51" s="4">
        <v>0</v>
      </c>
      <c r="F51" s="4">
        <v>80.61</v>
      </c>
      <c r="G51" s="4">
        <v>303.5</v>
      </c>
      <c r="H51" s="4">
        <v>33.880000000000003</v>
      </c>
      <c r="I51" s="4">
        <v>587.28</v>
      </c>
      <c r="J51" s="4">
        <v>0</v>
      </c>
      <c r="K51" s="4">
        <v>0</v>
      </c>
      <c r="L51" s="4">
        <v>0</v>
      </c>
      <c r="M51" s="4">
        <v>92.2</v>
      </c>
      <c r="N51" s="4">
        <v>80.599999999999994</v>
      </c>
      <c r="O51" s="4">
        <v>7.63</v>
      </c>
      <c r="P51" s="4">
        <v>0</v>
      </c>
      <c r="Q51" s="4">
        <v>135.54</v>
      </c>
      <c r="R51" s="4">
        <v>1321.24</v>
      </c>
      <c r="S51" s="2">
        <v>201312</v>
      </c>
      <c r="T51" s="16" t="s">
        <v>240</v>
      </c>
    </row>
    <row r="52" spans="1:20" x14ac:dyDescent="0.25">
      <c r="A52" s="9" t="s">
        <v>146</v>
      </c>
      <c r="B52" s="2" t="s">
        <v>41</v>
      </c>
      <c r="C52" s="3" t="s">
        <v>69</v>
      </c>
      <c r="D52" s="3"/>
      <c r="E52" s="4">
        <v>0</v>
      </c>
      <c r="F52" s="4">
        <v>27.91</v>
      </c>
      <c r="G52" s="4">
        <v>23.84</v>
      </c>
      <c r="H52" s="4">
        <v>27.71</v>
      </c>
      <c r="I52" s="4">
        <v>23.56</v>
      </c>
      <c r="J52" s="4">
        <v>25.82</v>
      </c>
      <c r="K52" s="4">
        <v>20.7</v>
      </c>
      <c r="L52" s="4">
        <v>19.32</v>
      </c>
      <c r="M52" s="4">
        <v>27.18</v>
      </c>
      <c r="N52" s="4">
        <v>21.52</v>
      </c>
      <c r="O52" s="4">
        <v>15.18</v>
      </c>
      <c r="P52" s="4">
        <v>19.239999999999998</v>
      </c>
      <c r="Q52" s="4">
        <v>22.16</v>
      </c>
      <c r="R52" s="4">
        <v>274.14</v>
      </c>
      <c r="S52" s="2">
        <v>201312</v>
      </c>
      <c r="T52" s="16" t="s">
        <v>240</v>
      </c>
    </row>
    <row r="53" spans="1:20" x14ac:dyDescent="0.25">
      <c r="A53" s="9" t="s">
        <v>147</v>
      </c>
      <c r="B53" s="2" t="s">
        <v>221</v>
      </c>
      <c r="C53" s="3" t="s">
        <v>69</v>
      </c>
      <c r="D53" s="3"/>
      <c r="E53" s="4">
        <v>0</v>
      </c>
      <c r="F53" s="4">
        <v>3553.94</v>
      </c>
      <c r="G53" s="4">
        <v>3968.59</v>
      </c>
      <c r="H53" s="4">
        <v>3515.33</v>
      </c>
      <c r="I53" s="4">
        <v>3578.2</v>
      </c>
      <c r="J53" s="4">
        <v>3122</v>
      </c>
      <c r="K53" s="4">
        <v>3401.6</v>
      </c>
      <c r="L53" s="4">
        <v>3618.95</v>
      </c>
      <c r="M53" s="4">
        <v>3168.81</v>
      </c>
      <c r="N53" s="4">
        <v>3490.44</v>
      </c>
      <c r="O53" s="4">
        <v>3408.81</v>
      </c>
      <c r="P53" s="4">
        <v>3278.51</v>
      </c>
      <c r="Q53" s="4">
        <v>3506.9</v>
      </c>
      <c r="R53" s="4">
        <v>41612.080000000002</v>
      </c>
      <c r="S53" s="2">
        <v>201312</v>
      </c>
      <c r="T53" s="16" t="s">
        <v>240</v>
      </c>
    </row>
    <row r="54" spans="1:20" x14ac:dyDescent="0.25">
      <c r="A54" s="9" t="s">
        <v>148</v>
      </c>
      <c r="B54" s="2" t="s">
        <v>222</v>
      </c>
      <c r="C54" s="3" t="s">
        <v>69</v>
      </c>
      <c r="D54" s="3"/>
      <c r="E54" s="4">
        <v>0</v>
      </c>
      <c r="F54" s="4">
        <v>1241</v>
      </c>
      <c r="G54" s="4">
        <v>1241</v>
      </c>
      <c r="H54" s="4">
        <v>3950</v>
      </c>
      <c r="I54" s="4">
        <v>1970</v>
      </c>
      <c r="J54" s="4">
        <v>2879.6</v>
      </c>
      <c r="K54" s="4">
        <v>1970</v>
      </c>
      <c r="L54" s="4">
        <v>1970</v>
      </c>
      <c r="M54" s="4">
        <v>1970</v>
      </c>
      <c r="N54" s="4">
        <v>1970</v>
      </c>
      <c r="O54" s="4">
        <v>0</v>
      </c>
      <c r="P54" s="4">
        <v>1973.18</v>
      </c>
      <c r="Q54" s="4">
        <v>1500</v>
      </c>
      <c r="R54" s="4">
        <v>22634.78</v>
      </c>
      <c r="S54" s="2">
        <v>201312</v>
      </c>
      <c r="T54" s="16" t="s">
        <v>240</v>
      </c>
    </row>
    <row r="55" spans="1:20" x14ac:dyDescent="0.25">
      <c r="A55" s="9" t="s">
        <v>149</v>
      </c>
      <c r="B55" s="2" t="s">
        <v>223</v>
      </c>
      <c r="C55" s="3" t="s">
        <v>69</v>
      </c>
      <c r="D55" s="3"/>
      <c r="E55" s="4">
        <v>0</v>
      </c>
      <c r="F55" s="4">
        <v>-235</v>
      </c>
      <c r="G55" s="4">
        <v>470</v>
      </c>
      <c r="H55" s="4">
        <v>-235</v>
      </c>
      <c r="I55" s="4">
        <v>235</v>
      </c>
      <c r="J55" s="4">
        <v>235</v>
      </c>
      <c r="K55" s="4">
        <v>-885</v>
      </c>
      <c r="L55" s="4">
        <v>892.28</v>
      </c>
      <c r="M55" s="4">
        <v>245</v>
      </c>
      <c r="N55" s="4">
        <v>-527.72</v>
      </c>
      <c r="O55" s="4">
        <v>0</v>
      </c>
      <c r="P55" s="4">
        <v>490</v>
      </c>
      <c r="Q55" s="4">
        <v>-490</v>
      </c>
      <c r="R55" s="4">
        <v>194.56</v>
      </c>
      <c r="S55" s="2">
        <v>201312</v>
      </c>
      <c r="T55" s="16" t="s">
        <v>240</v>
      </c>
    </row>
    <row r="56" spans="1:20" x14ac:dyDescent="0.25">
      <c r="A56" s="9" t="s">
        <v>150</v>
      </c>
      <c r="B56" s="2" t="s">
        <v>43</v>
      </c>
      <c r="C56" s="3" t="s">
        <v>69</v>
      </c>
      <c r="D56" s="3"/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2">
        <v>201312</v>
      </c>
      <c r="T56" s="16" t="s">
        <v>240</v>
      </c>
    </row>
    <row r="57" spans="1:20" x14ac:dyDescent="0.25">
      <c r="A57" s="9" t="s">
        <v>151</v>
      </c>
      <c r="B57" s="2" t="s">
        <v>44</v>
      </c>
      <c r="C57" s="3" t="s">
        <v>69</v>
      </c>
      <c r="D57" s="3"/>
      <c r="E57" s="4">
        <v>0</v>
      </c>
      <c r="F57" s="4">
        <v>520.6</v>
      </c>
      <c r="G57" s="4">
        <v>465.15</v>
      </c>
      <c r="H57" s="4">
        <v>632.66</v>
      </c>
      <c r="I57" s="4">
        <v>610.66999999999996</v>
      </c>
      <c r="J57" s="4">
        <v>770.45</v>
      </c>
      <c r="K57" s="4">
        <v>314.26</v>
      </c>
      <c r="L57" s="4">
        <v>623.01</v>
      </c>
      <c r="M57" s="4">
        <v>685.98</v>
      </c>
      <c r="N57" s="4">
        <v>544.09</v>
      </c>
      <c r="O57" s="4">
        <v>689.55</v>
      </c>
      <c r="P57" s="4">
        <v>534.19000000000005</v>
      </c>
      <c r="Q57" s="4">
        <v>671.44</v>
      </c>
      <c r="R57" s="4">
        <v>7062.05</v>
      </c>
      <c r="S57" s="2">
        <v>201312</v>
      </c>
      <c r="T57" s="16" t="s">
        <v>240</v>
      </c>
    </row>
    <row r="58" spans="1:20" x14ac:dyDescent="0.25">
      <c r="A58" s="9" t="s">
        <v>152</v>
      </c>
      <c r="B58" s="2" t="s">
        <v>224</v>
      </c>
      <c r="C58" s="3" t="s">
        <v>69</v>
      </c>
      <c r="D58" s="3"/>
      <c r="E58" s="4">
        <v>0</v>
      </c>
      <c r="F58" s="4">
        <v>64.95</v>
      </c>
      <c r="G58" s="4">
        <v>95.09</v>
      </c>
      <c r="H58" s="4">
        <v>64.95</v>
      </c>
      <c r="I58" s="4">
        <v>64.95</v>
      </c>
      <c r="J58" s="4">
        <v>83.33</v>
      </c>
      <c r="K58" s="4">
        <v>64.95</v>
      </c>
      <c r="L58" s="4">
        <v>64.95</v>
      </c>
      <c r="M58" s="4">
        <v>160.62</v>
      </c>
      <c r="N58" s="4">
        <v>70.95</v>
      </c>
      <c r="O58" s="4">
        <v>70.95</v>
      </c>
      <c r="P58" s="4">
        <v>70.95</v>
      </c>
      <c r="Q58" s="4">
        <v>70.95</v>
      </c>
      <c r="R58" s="4">
        <v>947.59</v>
      </c>
      <c r="S58" s="2">
        <v>201312</v>
      </c>
      <c r="T58" s="16" t="s">
        <v>240</v>
      </c>
    </row>
    <row r="59" spans="1:20" x14ac:dyDescent="0.25">
      <c r="A59" s="9" t="s">
        <v>153</v>
      </c>
      <c r="B59" s="2" t="s">
        <v>45</v>
      </c>
      <c r="C59" s="3" t="s">
        <v>69</v>
      </c>
      <c r="D59" s="3"/>
      <c r="E59" s="4">
        <v>0</v>
      </c>
      <c r="F59" s="4">
        <v>269.82</v>
      </c>
      <c r="G59" s="4">
        <v>222.18</v>
      </c>
      <c r="H59" s="4">
        <v>216</v>
      </c>
      <c r="I59" s="4">
        <v>91.06</v>
      </c>
      <c r="J59" s="4">
        <v>314.38</v>
      </c>
      <c r="K59" s="4">
        <v>145.6</v>
      </c>
      <c r="L59" s="4">
        <v>154.80000000000001</v>
      </c>
      <c r="M59" s="4">
        <v>320.27999999999997</v>
      </c>
      <c r="N59" s="4">
        <v>218.61</v>
      </c>
      <c r="O59" s="4">
        <v>169.03</v>
      </c>
      <c r="P59" s="4">
        <v>2.8</v>
      </c>
      <c r="Q59" s="4">
        <v>201.7</v>
      </c>
      <c r="R59" s="4">
        <v>2326.2600000000002</v>
      </c>
      <c r="S59" s="2">
        <v>201312</v>
      </c>
      <c r="T59" s="16" t="s">
        <v>240</v>
      </c>
    </row>
    <row r="60" spans="1:20" x14ac:dyDescent="0.25">
      <c r="A60" s="9" t="s">
        <v>154</v>
      </c>
      <c r="B60" s="2" t="s">
        <v>225</v>
      </c>
      <c r="C60" s="3" t="s">
        <v>69</v>
      </c>
      <c r="D60" s="3"/>
      <c r="E60" s="4">
        <v>0</v>
      </c>
      <c r="F60" s="4">
        <v>16.41</v>
      </c>
      <c r="G60" s="4">
        <v>641.41</v>
      </c>
      <c r="H60" s="4">
        <v>212.61</v>
      </c>
      <c r="I60" s="4">
        <v>308.81</v>
      </c>
      <c r="J60" s="4">
        <v>131.47</v>
      </c>
      <c r="K60" s="4">
        <v>244.52</v>
      </c>
      <c r="L60" s="4">
        <v>234.65</v>
      </c>
      <c r="M60" s="4">
        <v>565.5</v>
      </c>
      <c r="N60" s="4">
        <v>42.22</v>
      </c>
      <c r="O60" s="4">
        <v>95.6</v>
      </c>
      <c r="P60" s="4">
        <v>707.4</v>
      </c>
      <c r="Q60" s="4">
        <v>4958.79</v>
      </c>
      <c r="R60" s="4">
        <v>8159.39</v>
      </c>
      <c r="S60" s="2">
        <v>201312</v>
      </c>
      <c r="T60" s="16" t="s">
        <v>240</v>
      </c>
    </row>
    <row r="61" spans="1:20" x14ac:dyDescent="0.25">
      <c r="A61" s="9" t="s">
        <v>155</v>
      </c>
      <c r="B61" s="2" t="s">
        <v>226</v>
      </c>
      <c r="C61" s="3" t="s">
        <v>69</v>
      </c>
      <c r="D61" s="3"/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2">
        <v>201312</v>
      </c>
      <c r="T61" s="16" t="s">
        <v>240</v>
      </c>
    </row>
    <row r="62" spans="1:20" x14ac:dyDescent="0.25">
      <c r="A62" s="9" t="s">
        <v>156</v>
      </c>
      <c r="B62" s="2" t="s">
        <v>46</v>
      </c>
      <c r="C62" s="3" t="s">
        <v>69</v>
      </c>
      <c r="D62" s="3"/>
      <c r="E62" s="4">
        <v>0</v>
      </c>
      <c r="F62" s="4">
        <v>0</v>
      </c>
      <c r="G62" s="4">
        <v>88.96</v>
      </c>
      <c r="H62" s="4">
        <v>112.13</v>
      </c>
      <c r="I62" s="4">
        <v>220.15</v>
      </c>
      <c r="J62" s="4">
        <v>23.08</v>
      </c>
      <c r="K62" s="4">
        <v>57.92</v>
      </c>
      <c r="L62" s="4">
        <v>50.57</v>
      </c>
      <c r="M62" s="4">
        <v>74.599999999999994</v>
      </c>
      <c r="N62" s="4">
        <v>82.61</v>
      </c>
      <c r="O62" s="4">
        <v>69.650000000000006</v>
      </c>
      <c r="P62" s="4">
        <v>36.299999999999997</v>
      </c>
      <c r="Q62" s="4">
        <v>133.66</v>
      </c>
      <c r="R62" s="4">
        <v>949.63</v>
      </c>
      <c r="S62" s="2">
        <v>201312</v>
      </c>
      <c r="T62" s="16" t="s">
        <v>240</v>
      </c>
    </row>
    <row r="63" spans="1:20" x14ac:dyDescent="0.25">
      <c r="A63" s="9" t="s">
        <v>157</v>
      </c>
      <c r="B63" s="2" t="s">
        <v>227</v>
      </c>
      <c r="C63" s="3" t="s">
        <v>69</v>
      </c>
      <c r="D63" s="3"/>
      <c r="E63" s="4">
        <v>0</v>
      </c>
      <c r="F63" s="4">
        <v>945.57</v>
      </c>
      <c r="G63" s="4">
        <v>982.82</v>
      </c>
      <c r="H63" s="4">
        <v>976.42</v>
      </c>
      <c r="I63" s="4">
        <v>899.28</v>
      </c>
      <c r="J63" s="4">
        <v>834.92</v>
      </c>
      <c r="K63" s="4">
        <v>835.77</v>
      </c>
      <c r="L63" s="4">
        <v>1175.19</v>
      </c>
      <c r="M63" s="4">
        <v>1292.45</v>
      </c>
      <c r="N63" s="4">
        <v>1063.1600000000001</v>
      </c>
      <c r="O63" s="4">
        <v>1028.26</v>
      </c>
      <c r="P63" s="4">
        <v>511.72</v>
      </c>
      <c r="Q63" s="4">
        <v>1254.79</v>
      </c>
      <c r="R63" s="4">
        <v>11800.35</v>
      </c>
      <c r="S63" s="2">
        <v>201312</v>
      </c>
      <c r="T63" s="16" t="s">
        <v>240</v>
      </c>
    </row>
    <row r="64" spans="1:20" x14ac:dyDescent="0.25">
      <c r="A64" s="9" t="s">
        <v>158</v>
      </c>
      <c r="B64" s="2" t="s">
        <v>47</v>
      </c>
      <c r="C64" s="3" t="s">
        <v>69</v>
      </c>
      <c r="D64" s="3"/>
      <c r="E64" s="4">
        <v>0</v>
      </c>
      <c r="F64" s="4">
        <v>1937.13</v>
      </c>
      <c r="G64" s="4">
        <v>1839.09</v>
      </c>
      <c r="H64" s="4">
        <v>1618.94</v>
      </c>
      <c r="I64" s="4">
        <v>1839.09</v>
      </c>
      <c r="J64" s="4">
        <v>1738.45</v>
      </c>
      <c r="K64" s="4">
        <v>2524.6999999999998</v>
      </c>
      <c r="L64" s="4">
        <v>3914.79</v>
      </c>
      <c r="M64" s="4">
        <v>5109.8900000000003</v>
      </c>
      <c r="N64" s="4">
        <v>3084.51</v>
      </c>
      <c r="O64" s="4">
        <v>1681.84</v>
      </c>
      <c r="P64" s="4">
        <v>1763.61</v>
      </c>
      <c r="Q64" s="4">
        <v>2128.4299999999998</v>
      </c>
      <c r="R64" s="4">
        <v>29180.47</v>
      </c>
      <c r="S64" s="2">
        <v>201312</v>
      </c>
      <c r="T64" s="16" t="s">
        <v>240</v>
      </c>
    </row>
    <row r="65" spans="1:20" x14ac:dyDescent="0.25">
      <c r="A65" s="9" t="s">
        <v>159</v>
      </c>
      <c r="B65" s="2" t="s">
        <v>48</v>
      </c>
      <c r="C65" s="3" t="s">
        <v>69</v>
      </c>
      <c r="D65" s="3"/>
      <c r="E65" s="4">
        <v>0</v>
      </c>
      <c r="F65" s="4">
        <v>0</v>
      </c>
      <c r="G65" s="4">
        <v>2674.45</v>
      </c>
      <c r="H65" s="4">
        <v>4744.79</v>
      </c>
      <c r="I65" s="4">
        <v>2443.23</v>
      </c>
      <c r="J65" s="4">
        <v>3527.57</v>
      </c>
      <c r="K65" s="4">
        <v>1753.98</v>
      </c>
      <c r="L65" s="4">
        <v>1793</v>
      </c>
      <c r="M65" s="4">
        <v>1590.09</v>
      </c>
      <c r="N65" s="4">
        <v>1383.03</v>
      </c>
      <c r="O65" s="4">
        <v>1408.52</v>
      </c>
      <c r="P65" s="4">
        <v>2271.92</v>
      </c>
      <c r="Q65" s="4">
        <v>5412.87</v>
      </c>
      <c r="R65" s="4">
        <v>29003.45</v>
      </c>
      <c r="S65" s="2">
        <v>201312</v>
      </c>
      <c r="T65" s="16" t="s">
        <v>240</v>
      </c>
    </row>
    <row r="66" spans="1:20" x14ac:dyDescent="0.25">
      <c r="A66" s="9" t="s">
        <v>160</v>
      </c>
      <c r="B66" s="2" t="s">
        <v>49</v>
      </c>
      <c r="C66" s="3" t="s">
        <v>69</v>
      </c>
      <c r="D66" s="3"/>
      <c r="E66" s="4">
        <v>0</v>
      </c>
      <c r="F66" s="4">
        <v>6996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6996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13992</v>
      </c>
      <c r="S66" s="2">
        <v>201312</v>
      </c>
      <c r="T66" s="16" t="s">
        <v>240</v>
      </c>
    </row>
    <row r="67" spans="1:20" x14ac:dyDescent="0.25">
      <c r="A67" s="9" t="s">
        <v>161</v>
      </c>
      <c r="B67" s="2" t="s">
        <v>50</v>
      </c>
      <c r="C67" s="3" t="s">
        <v>69</v>
      </c>
      <c r="D67" s="3"/>
      <c r="E67" s="4">
        <v>0</v>
      </c>
      <c r="F67" s="4">
        <v>496.08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496.08</v>
      </c>
      <c r="S67" s="2">
        <v>201312</v>
      </c>
      <c r="T67" s="16" t="s">
        <v>240</v>
      </c>
    </row>
    <row r="68" spans="1:20" x14ac:dyDescent="0.25">
      <c r="A68" s="9" t="s">
        <v>162</v>
      </c>
      <c r="B68" s="2" t="s">
        <v>51</v>
      </c>
      <c r="C68" s="3" t="s">
        <v>69</v>
      </c>
      <c r="D68" s="3"/>
      <c r="E68" s="4">
        <v>0</v>
      </c>
      <c r="F68" s="4">
        <v>1872</v>
      </c>
      <c r="G68" s="4">
        <v>2324</v>
      </c>
      <c r="H68" s="4">
        <v>1095</v>
      </c>
      <c r="I68" s="4">
        <v>2337</v>
      </c>
      <c r="J68" s="4">
        <v>2863</v>
      </c>
      <c r="K68" s="4">
        <v>-351</v>
      </c>
      <c r="L68" s="4">
        <v>2900</v>
      </c>
      <c r="M68" s="4">
        <v>2103</v>
      </c>
      <c r="N68" s="4">
        <v>1400</v>
      </c>
      <c r="O68" s="4">
        <v>3311</v>
      </c>
      <c r="P68" s="4">
        <v>1450</v>
      </c>
      <c r="Q68" s="4">
        <v>2149</v>
      </c>
      <c r="R68" s="4">
        <v>23453</v>
      </c>
      <c r="S68" s="2">
        <v>201312</v>
      </c>
      <c r="T68" s="16" t="s">
        <v>240</v>
      </c>
    </row>
    <row r="69" spans="1:20" x14ac:dyDescent="0.25">
      <c r="A69" s="9" t="s">
        <v>163</v>
      </c>
      <c r="B69" s="2" t="s">
        <v>52</v>
      </c>
      <c r="C69" s="3" t="s">
        <v>69</v>
      </c>
      <c r="D69" s="3"/>
      <c r="E69" s="4">
        <v>0</v>
      </c>
      <c r="F69" s="4">
        <v>260</v>
      </c>
      <c r="G69" s="4">
        <v>260</v>
      </c>
      <c r="H69" s="4">
        <v>260</v>
      </c>
      <c r="I69" s="4">
        <v>260</v>
      </c>
      <c r="J69" s="4">
        <v>260</v>
      </c>
      <c r="K69" s="4">
        <v>245</v>
      </c>
      <c r="L69" s="4">
        <v>0</v>
      </c>
      <c r="M69" s="4">
        <v>260</v>
      </c>
      <c r="N69" s="4">
        <v>260</v>
      </c>
      <c r="O69" s="4">
        <v>520</v>
      </c>
      <c r="P69" s="4">
        <v>260</v>
      </c>
      <c r="Q69" s="4">
        <v>260</v>
      </c>
      <c r="R69" s="4">
        <v>3105</v>
      </c>
      <c r="S69" s="2">
        <v>201312</v>
      </c>
      <c r="T69" s="16" t="s">
        <v>240</v>
      </c>
    </row>
    <row r="70" spans="1:20" x14ac:dyDescent="0.25">
      <c r="A70" s="9" t="s">
        <v>164</v>
      </c>
      <c r="B70" s="2" t="s">
        <v>53</v>
      </c>
      <c r="C70" s="3" t="s">
        <v>69</v>
      </c>
      <c r="D70" s="3"/>
      <c r="E70" s="4">
        <v>0</v>
      </c>
      <c r="F70" s="4">
        <v>764.5</v>
      </c>
      <c r="G70" s="4">
        <v>797</v>
      </c>
      <c r="H70" s="4">
        <v>742</v>
      </c>
      <c r="I70" s="4">
        <v>837</v>
      </c>
      <c r="J70" s="4">
        <v>762</v>
      </c>
      <c r="K70" s="4">
        <v>754.5</v>
      </c>
      <c r="L70" s="4">
        <v>932</v>
      </c>
      <c r="M70" s="4">
        <v>852</v>
      </c>
      <c r="N70" s="4">
        <v>809.5</v>
      </c>
      <c r="O70" s="4">
        <v>734.5</v>
      </c>
      <c r="P70" s="4">
        <v>809.5</v>
      </c>
      <c r="Q70" s="4">
        <v>784.5</v>
      </c>
      <c r="R70" s="4">
        <v>9579</v>
      </c>
      <c r="S70" s="2">
        <v>201312</v>
      </c>
      <c r="T70" s="16" t="s">
        <v>240</v>
      </c>
    </row>
    <row r="71" spans="1:20" x14ac:dyDescent="0.25">
      <c r="A71" s="9" t="s">
        <v>165</v>
      </c>
      <c r="B71" s="2" t="s">
        <v>228</v>
      </c>
      <c r="C71" s="3" t="s">
        <v>69</v>
      </c>
      <c r="D71" s="3"/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480</v>
      </c>
      <c r="Q71" s="4">
        <v>0</v>
      </c>
      <c r="R71" s="4">
        <v>480</v>
      </c>
      <c r="S71" s="2">
        <v>201312</v>
      </c>
      <c r="T71" s="16" t="s">
        <v>240</v>
      </c>
    </row>
    <row r="72" spans="1:20" x14ac:dyDescent="0.25">
      <c r="A72" s="9" t="s">
        <v>241</v>
      </c>
      <c r="B72" s="2" t="s">
        <v>243</v>
      </c>
      <c r="C72" s="3" t="s">
        <v>69</v>
      </c>
      <c r="D72" s="3"/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572.47</v>
      </c>
      <c r="O72" s="4">
        <v>0</v>
      </c>
      <c r="P72" s="4">
        <v>0</v>
      </c>
      <c r="Q72" s="4">
        <v>0</v>
      </c>
      <c r="R72" s="4">
        <v>572.47</v>
      </c>
      <c r="S72" s="2">
        <v>201312</v>
      </c>
      <c r="T72" s="16" t="s">
        <v>240</v>
      </c>
    </row>
    <row r="73" spans="1:20" x14ac:dyDescent="0.25">
      <c r="A73" s="9" t="s">
        <v>166</v>
      </c>
      <c r="B73" s="2" t="s">
        <v>54</v>
      </c>
      <c r="C73" s="3" t="s">
        <v>69</v>
      </c>
      <c r="D73" s="3"/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1542.86</v>
      </c>
      <c r="K73" s="4">
        <v>1211.4100000000001</v>
      </c>
      <c r="L73" s="4">
        <v>1029.05</v>
      </c>
      <c r="M73" s="4">
        <v>2582</v>
      </c>
      <c r="N73" s="4">
        <v>1233.24</v>
      </c>
      <c r="O73" s="4">
        <v>874.72</v>
      </c>
      <c r="P73" s="4">
        <v>0</v>
      </c>
      <c r="Q73" s="4">
        <v>0</v>
      </c>
      <c r="R73" s="4">
        <v>8473.2800000000007</v>
      </c>
      <c r="S73" s="2">
        <v>201312</v>
      </c>
      <c r="T73" s="16" t="s">
        <v>240</v>
      </c>
    </row>
    <row r="74" spans="1:20" x14ac:dyDescent="0.25">
      <c r="A74" s="9" t="s">
        <v>167</v>
      </c>
      <c r="B74" s="2" t="s">
        <v>229</v>
      </c>
      <c r="C74" s="3" t="s">
        <v>69</v>
      </c>
      <c r="D74" s="3"/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1252.3599999999999</v>
      </c>
      <c r="K74" s="4">
        <v>2286.91</v>
      </c>
      <c r="L74" s="4">
        <v>1946.59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5485.86</v>
      </c>
      <c r="S74" s="2">
        <v>201312</v>
      </c>
      <c r="T74" s="16" t="s">
        <v>240</v>
      </c>
    </row>
    <row r="75" spans="1:20" x14ac:dyDescent="0.25">
      <c r="A75" s="9" t="s">
        <v>168</v>
      </c>
      <c r="B75" s="2" t="s">
        <v>230</v>
      </c>
      <c r="C75" s="3" t="s">
        <v>69</v>
      </c>
      <c r="D75" s="3"/>
      <c r="E75" s="4">
        <v>0</v>
      </c>
      <c r="F75" s="4">
        <v>1426.94</v>
      </c>
      <c r="G75" s="4">
        <v>3258.36</v>
      </c>
      <c r="H75" s="4">
        <v>5452.76</v>
      </c>
      <c r="I75" s="4">
        <v>5906.62</v>
      </c>
      <c r="J75" s="4">
        <v>6898.37</v>
      </c>
      <c r="K75" s="4">
        <v>7165.14</v>
      </c>
      <c r="L75" s="4">
        <v>2101.61</v>
      </c>
      <c r="M75" s="4">
        <v>4876.6899999999996</v>
      </c>
      <c r="N75" s="4">
        <v>75.31</v>
      </c>
      <c r="O75" s="4">
        <v>5348.64</v>
      </c>
      <c r="P75" s="4">
        <v>430.5</v>
      </c>
      <c r="Q75" s="4">
        <v>4723.4399999999996</v>
      </c>
      <c r="R75" s="4">
        <v>47664.38</v>
      </c>
      <c r="S75" s="2">
        <v>201312</v>
      </c>
      <c r="T75" s="16" t="s">
        <v>240</v>
      </c>
    </row>
    <row r="76" spans="1:20" x14ac:dyDescent="0.25">
      <c r="A76" s="9" t="s">
        <v>169</v>
      </c>
      <c r="B76" s="2" t="s">
        <v>55</v>
      </c>
      <c r="C76" s="3" t="s">
        <v>69</v>
      </c>
      <c r="D76" s="3"/>
      <c r="E76" s="4">
        <v>0</v>
      </c>
      <c r="F76" s="4">
        <v>718.5</v>
      </c>
      <c r="G76" s="4">
        <v>2063</v>
      </c>
      <c r="H76" s="4">
        <v>2945.75</v>
      </c>
      <c r="I76" s="4">
        <v>4490</v>
      </c>
      <c r="J76" s="4">
        <v>4195.5</v>
      </c>
      <c r="K76" s="4">
        <v>5401.99</v>
      </c>
      <c r="L76" s="4">
        <v>6533.2</v>
      </c>
      <c r="M76" s="4">
        <v>2058</v>
      </c>
      <c r="N76" s="4">
        <v>3558</v>
      </c>
      <c r="O76" s="4">
        <v>2219.9</v>
      </c>
      <c r="P76" s="4">
        <v>2379.1999999999998</v>
      </c>
      <c r="Q76" s="4">
        <v>1731.25</v>
      </c>
      <c r="R76" s="4">
        <v>38294.29</v>
      </c>
      <c r="S76" s="2">
        <v>201312</v>
      </c>
      <c r="T76" s="16" t="s">
        <v>240</v>
      </c>
    </row>
    <row r="77" spans="1:20" x14ac:dyDescent="0.25">
      <c r="A77" s="9" t="s">
        <v>170</v>
      </c>
      <c r="B77" s="2" t="s">
        <v>228</v>
      </c>
      <c r="C77" s="3" t="s">
        <v>69</v>
      </c>
      <c r="D77" s="3"/>
      <c r="E77" s="4">
        <v>0</v>
      </c>
      <c r="F77" s="4">
        <v>480</v>
      </c>
      <c r="G77" s="4">
        <v>465</v>
      </c>
      <c r="H77" s="4">
        <v>450</v>
      </c>
      <c r="I77" s="4">
        <v>450</v>
      </c>
      <c r="J77" s="4">
        <v>465</v>
      </c>
      <c r="K77" s="4">
        <v>450</v>
      </c>
      <c r="L77" s="4">
        <v>465</v>
      </c>
      <c r="M77" s="4">
        <v>450</v>
      </c>
      <c r="N77" s="4">
        <v>465</v>
      </c>
      <c r="O77" s="4">
        <v>465</v>
      </c>
      <c r="P77" s="4">
        <v>0</v>
      </c>
      <c r="Q77" s="4">
        <v>465</v>
      </c>
      <c r="R77" s="4">
        <v>5070</v>
      </c>
      <c r="S77" s="2">
        <v>201312</v>
      </c>
      <c r="T77" s="16" t="s">
        <v>240</v>
      </c>
    </row>
    <row r="78" spans="1:20" x14ac:dyDescent="0.25">
      <c r="A78" s="9" t="s">
        <v>171</v>
      </c>
      <c r="B78" s="2" t="s">
        <v>56</v>
      </c>
      <c r="C78" s="3" t="s">
        <v>69</v>
      </c>
      <c r="D78" s="3"/>
      <c r="E78" s="4">
        <v>0</v>
      </c>
      <c r="F78" s="4">
        <v>5238</v>
      </c>
      <c r="G78" s="4">
        <v>5238</v>
      </c>
      <c r="H78" s="4">
        <v>-1632</v>
      </c>
      <c r="I78" s="4">
        <v>4697.05</v>
      </c>
      <c r="J78" s="4">
        <v>2812.01</v>
      </c>
      <c r="K78" s="4">
        <v>4437</v>
      </c>
      <c r="L78" s="4">
        <v>6062</v>
      </c>
      <c r="M78" s="4">
        <v>6062</v>
      </c>
      <c r="N78" s="4">
        <v>6062</v>
      </c>
      <c r="O78" s="4">
        <v>6062</v>
      </c>
      <c r="P78" s="4">
        <v>8081.48</v>
      </c>
      <c r="Q78" s="4">
        <v>6062</v>
      </c>
      <c r="R78" s="4">
        <v>59181.54</v>
      </c>
      <c r="S78" s="2">
        <v>201312</v>
      </c>
      <c r="T78" s="16" t="s">
        <v>240</v>
      </c>
    </row>
    <row r="79" spans="1:20" x14ac:dyDescent="0.25">
      <c r="A79" s="9" t="s">
        <v>172</v>
      </c>
      <c r="B79" s="2" t="s">
        <v>57</v>
      </c>
      <c r="C79" s="3" t="s">
        <v>69</v>
      </c>
      <c r="D79" s="3"/>
      <c r="E79" s="4">
        <v>0</v>
      </c>
      <c r="F79" s="4">
        <v>0</v>
      </c>
      <c r="G79" s="4">
        <v>1203.1400000000001</v>
      </c>
      <c r="H79" s="4">
        <v>3834.24</v>
      </c>
      <c r="I79" s="4">
        <v>5940.63</v>
      </c>
      <c r="J79" s="4">
        <v>1706.08</v>
      </c>
      <c r="K79" s="4">
        <v>0</v>
      </c>
      <c r="L79" s="4">
        <v>0</v>
      </c>
      <c r="M79" s="4">
        <v>3858.65</v>
      </c>
      <c r="N79" s="4">
        <v>0</v>
      </c>
      <c r="O79" s="4">
        <v>0</v>
      </c>
      <c r="P79" s="4">
        <v>0</v>
      </c>
      <c r="Q79" s="4">
        <v>1776.5</v>
      </c>
      <c r="R79" s="4">
        <v>18319.240000000002</v>
      </c>
      <c r="S79" s="2">
        <v>201312</v>
      </c>
      <c r="T79" s="16" t="s">
        <v>240</v>
      </c>
    </row>
    <row r="80" spans="1:20" x14ac:dyDescent="0.25">
      <c r="A80" s="9" t="s">
        <v>173</v>
      </c>
      <c r="B80" s="2" t="s">
        <v>58</v>
      </c>
      <c r="C80" s="3" t="s">
        <v>69</v>
      </c>
      <c r="D80" s="3"/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2">
        <v>201312</v>
      </c>
      <c r="T80" s="16" t="s">
        <v>240</v>
      </c>
    </row>
    <row r="81" spans="1:20" x14ac:dyDescent="0.25">
      <c r="A81" s="9" t="s">
        <v>174</v>
      </c>
      <c r="B81" s="2" t="s">
        <v>42</v>
      </c>
      <c r="C81" s="3" t="s">
        <v>69</v>
      </c>
      <c r="D81" s="3"/>
      <c r="E81" s="4">
        <v>0</v>
      </c>
      <c r="F81" s="4">
        <v>337.97</v>
      </c>
      <c r="G81" s="4">
        <v>340.8</v>
      </c>
      <c r="H81" s="4">
        <v>378.11</v>
      </c>
      <c r="I81" s="4">
        <v>339.98</v>
      </c>
      <c r="J81" s="4">
        <v>441.59</v>
      </c>
      <c r="K81" s="4">
        <v>336.71</v>
      </c>
      <c r="L81" s="4">
        <v>647.95000000000005</v>
      </c>
      <c r="M81" s="4">
        <v>577.4</v>
      </c>
      <c r="N81" s="4">
        <v>547.33000000000004</v>
      </c>
      <c r="O81" s="4">
        <v>566.70000000000005</v>
      </c>
      <c r="P81" s="4">
        <v>742.26</v>
      </c>
      <c r="Q81" s="4">
        <v>585.54999999999995</v>
      </c>
      <c r="R81" s="4">
        <v>5842.35</v>
      </c>
      <c r="S81" s="2">
        <v>201312</v>
      </c>
      <c r="T81" s="16" t="s">
        <v>240</v>
      </c>
    </row>
    <row r="82" spans="1:20" x14ac:dyDescent="0.25">
      <c r="A82" s="9" t="s">
        <v>175</v>
      </c>
      <c r="B82" s="2" t="s">
        <v>231</v>
      </c>
      <c r="C82" s="3" t="s">
        <v>69</v>
      </c>
      <c r="D82" s="3"/>
      <c r="E82" s="4">
        <v>0</v>
      </c>
      <c r="F82" s="4">
        <v>0</v>
      </c>
      <c r="G82" s="4">
        <v>17429.84</v>
      </c>
      <c r="H82" s="4">
        <v>0</v>
      </c>
      <c r="I82" s="4">
        <v>0</v>
      </c>
      <c r="J82" s="4">
        <v>0</v>
      </c>
      <c r="K82" s="4">
        <v>-1442.8</v>
      </c>
      <c r="L82" s="4">
        <v>0</v>
      </c>
      <c r="M82" s="4">
        <v>-791.76</v>
      </c>
      <c r="N82" s="4">
        <v>0</v>
      </c>
      <c r="O82" s="4">
        <v>0</v>
      </c>
      <c r="P82" s="4">
        <v>0</v>
      </c>
      <c r="Q82" s="4">
        <v>0</v>
      </c>
      <c r="R82" s="4">
        <v>15195.28</v>
      </c>
      <c r="S82" s="2">
        <v>201312</v>
      </c>
      <c r="T82" s="16" t="s">
        <v>240</v>
      </c>
    </row>
    <row r="83" spans="1:20" x14ac:dyDescent="0.25">
      <c r="A83" s="9" t="s">
        <v>176</v>
      </c>
      <c r="B83" s="2" t="s">
        <v>59</v>
      </c>
      <c r="C83" s="3" t="s">
        <v>69</v>
      </c>
      <c r="D83" s="3"/>
      <c r="E83" s="4">
        <v>0</v>
      </c>
      <c r="F83" s="4">
        <v>1257.6300000000001</v>
      </c>
      <c r="G83" s="4">
        <v>1237.9000000000001</v>
      </c>
      <c r="H83" s="4">
        <v>1028.24</v>
      </c>
      <c r="I83" s="4">
        <v>1179.29</v>
      </c>
      <c r="J83" s="4">
        <v>1253.6600000000001</v>
      </c>
      <c r="K83" s="4">
        <v>1199.78</v>
      </c>
      <c r="L83" s="4">
        <v>1911.98</v>
      </c>
      <c r="M83" s="4">
        <v>2302.2600000000002</v>
      </c>
      <c r="N83" s="4">
        <v>2192.6999999999998</v>
      </c>
      <c r="O83" s="4">
        <v>2208.02</v>
      </c>
      <c r="P83" s="4">
        <v>2209.42</v>
      </c>
      <c r="Q83" s="4">
        <v>2695.22</v>
      </c>
      <c r="R83" s="4">
        <v>20676.099999999999</v>
      </c>
      <c r="S83" s="2">
        <v>201312</v>
      </c>
      <c r="T83" s="16" t="s">
        <v>240</v>
      </c>
    </row>
    <row r="84" spans="1:20" x14ac:dyDescent="0.25">
      <c r="A84" s="9" t="s">
        <v>177</v>
      </c>
      <c r="B84" s="2" t="s">
        <v>232</v>
      </c>
      <c r="C84" s="3" t="s">
        <v>69</v>
      </c>
      <c r="D84" s="3"/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1523.4</v>
      </c>
      <c r="P84" s="4">
        <v>0</v>
      </c>
      <c r="Q84" s="4">
        <v>195.48</v>
      </c>
      <c r="R84" s="4">
        <v>1718.88</v>
      </c>
      <c r="S84" s="2">
        <v>201312</v>
      </c>
      <c r="T84" s="16" t="s">
        <v>240</v>
      </c>
    </row>
    <row r="85" spans="1:20" x14ac:dyDescent="0.25">
      <c r="A85" s="9" t="s">
        <v>178</v>
      </c>
      <c r="B85" s="2" t="s">
        <v>60</v>
      </c>
      <c r="C85" s="3" t="s">
        <v>69</v>
      </c>
      <c r="D85" s="3"/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2">
        <v>201312</v>
      </c>
      <c r="T85" s="16" t="s">
        <v>240</v>
      </c>
    </row>
    <row r="86" spans="1:20" x14ac:dyDescent="0.25">
      <c r="A86" s="9" t="s">
        <v>179</v>
      </c>
      <c r="B86" s="2" t="s">
        <v>61</v>
      </c>
      <c r="C86" s="3" t="s">
        <v>69</v>
      </c>
      <c r="D86" s="3"/>
      <c r="E86" s="4">
        <v>0</v>
      </c>
      <c r="F86" s="4">
        <v>0</v>
      </c>
      <c r="G86" s="4">
        <v>4335.6099999999997</v>
      </c>
      <c r="H86" s="4">
        <v>0</v>
      </c>
      <c r="I86" s="4">
        <v>4542.5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17983.61</v>
      </c>
      <c r="R86" s="4">
        <v>26861.72</v>
      </c>
      <c r="S86" s="2">
        <v>201312</v>
      </c>
      <c r="T86" s="16" t="s">
        <v>240</v>
      </c>
    </row>
    <row r="87" spans="1:20" x14ac:dyDescent="0.25">
      <c r="A87" s="9" t="s">
        <v>242</v>
      </c>
      <c r="B87" s="2" t="s">
        <v>70</v>
      </c>
      <c r="C87" s="3" t="s">
        <v>69</v>
      </c>
      <c r="D87" s="3"/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14071.87</v>
      </c>
      <c r="O87" s="4">
        <v>0</v>
      </c>
      <c r="P87" s="4">
        <v>0</v>
      </c>
      <c r="Q87" s="4">
        <v>1425.02</v>
      </c>
      <c r="R87" s="4">
        <v>15496.89</v>
      </c>
      <c r="S87" s="2">
        <v>201312</v>
      </c>
      <c r="T87" s="16" t="s">
        <v>240</v>
      </c>
    </row>
    <row r="88" spans="1:20" x14ac:dyDescent="0.25">
      <c r="A88" s="9" t="s">
        <v>180</v>
      </c>
      <c r="B88" s="2" t="s">
        <v>233</v>
      </c>
      <c r="C88" s="3" t="s">
        <v>69</v>
      </c>
      <c r="D88" s="3"/>
      <c r="E88" s="4">
        <v>0</v>
      </c>
      <c r="F88" s="4">
        <v>6964.83</v>
      </c>
      <c r="G88" s="4">
        <v>3396.03</v>
      </c>
      <c r="H88" s="4">
        <v>3338.2</v>
      </c>
      <c r="I88" s="4">
        <v>3280.19</v>
      </c>
      <c r="J88" s="4">
        <v>3221.99</v>
      </c>
      <c r="K88" s="4">
        <v>3163.62</v>
      </c>
      <c r="L88" s="4">
        <v>3105.06</v>
      </c>
      <c r="M88" s="4">
        <v>3046.32</v>
      </c>
      <c r="N88" s="4">
        <v>2987.4</v>
      </c>
      <c r="O88" s="4">
        <v>2928.29</v>
      </c>
      <c r="P88" s="4">
        <v>2869</v>
      </c>
      <c r="Q88" s="4">
        <v>0</v>
      </c>
      <c r="R88" s="4">
        <v>38300.93</v>
      </c>
      <c r="S88" s="2">
        <v>201312</v>
      </c>
      <c r="T88" s="16" t="s">
        <v>240</v>
      </c>
    </row>
    <row r="89" spans="1:20" x14ac:dyDescent="0.25">
      <c r="A89" s="9" t="s">
        <v>181</v>
      </c>
      <c r="B89" s="2" t="s">
        <v>62</v>
      </c>
      <c r="C89" s="3" t="s">
        <v>69</v>
      </c>
      <c r="D89" s="3"/>
      <c r="E89" s="4">
        <v>0</v>
      </c>
      <c r="F89" s="4">
        <v>10966.93</v>
      </c>
      <c r="G89" s="4">
        <v>10966.93</v>
      </c>
      <c r="H89" s="4">
        <v>10966.93</v>
      </c>
      <c r="I89" s="4">
        <v>10966.93</v>
      </c>
      <c r="J89" s="4">
        <v>10814.11</v>
      </c>
      <c r="K89" s="4">
        <v>10936.37</v>
      </c>
      <c r="L89" s="4">
        <v>10654.71</v>
      </c>
      <c r="M89" s="4">
        <v>10916.25</v>
      </c>
      <c r="N89" s="4">
        <v>7860.21</v>
      </c>
      <c r="O89" s="4">
        <v>10561.04</v>
      </c>
      <c r="P89" s="4">
        <v>10561.04</v>
      </c>
      <c r="Q89" s="4">
        <v>10567.54</v>
      </c>
      <c r="R89" s="4">
        <v>126738.99</v>
      </c>
      <c r="S89" s="2">
        <v>201312</v>
      </c>
      <c r="T89" s="16" t="s">
        <v>240</v>
      </c>
    </row>
    <row r="90" spans="1:20" x14ac:dyDescent="0.25">
      <c r="A90" s="9" t="s">
        <v>182</v>
      </c>
      <c r="B90" s="2" t="s">
        <v>63</v>
      </c>
      <c r="C90" s="3" t="s">
        <v>69</v>
      </c>
      <c r="D90" s="3"/>
      <c r="E90" s="4">
        <v>0</v>
      </c>
      <c r="F90" s="4">
        <v>3000</v>
      </c>
      <c r="G90" s="4">
        <v>3000</v>
      </c>
      <c r="H90" s="4">
        <v>3000</v>
      </c>
      <c r="I90" s="4">
        <v>3000</v>
      </c>
      <c r="J90" s="4">
        <v>3000</v>
      </c>
      <c r="K90" s="4">
        <v>3000</v>
      </c>
      <c r="L90" s="4">
        <v>3000</v>
      </c>
      <c r="M90" s="4">
        <v>3000</v>
      </c>
      <c r="N90" s="4">
        <v>3000</v>
      </c>
      <c r="O90" s="4">
        <v>3000</v>
      </c>
      <c r="P90" s="4">
        <v>3000</v>
      </c>
      <c r="Q90" s="4">
        <v>3000</v>
      </c>
      <c r="R90" s="4">
        <v>36000</v>
      </c>
      <c r="S90" s="2">
        <v>201312</v>
      </c>
      <c r="T90" s="16" t="s">
        <v>240</v>
      </c>
    </row>
    <row r="91" spans="1:20" x14ac:dyDescent="0.25">
      <c r="A91" s="9" t="s">
        <v>183</v>
      </c>
      <c r="B91" s="2" t="s">
        <v>234</v>
      </c>
      <c r="C91" s="3" t="s">
        <v>69</v>
      </c>
      <c r="D91" s="3"/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2">
        <v>201312</v>
      </c>
      <c r="T91" s="16" t="s">
        <v>240</v>
      </c>
    </row>
    <row r="92" spans="1:20" x14ac:dyDescent="0.25">
      <c r="A92" s="9" t="s">
        <v>184</v>
      </c>
      <c r="B92" s="2" t="s">
        <v>198</v>
      </c>
      <c r="C92" s="3" t="s">
        <v>69</v>
      </c>
      <c r="D92" s="3"/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2">
        <v>201312</v>
      </c>
      <c r="T92" s="16" t="s">
        <v>240</v>
      </c>
    </row>
    <row r="93" spans="1:20" x14ac:dyDescent="0.25">
      <c r="A93" s="9" t="s">
        <v>185</v>
      </c>
      <c r="B93" s="2" t="s">
        <v>25</v>
      </c>
      <c r="C93" s="3" t="s">
        <v>69</v>
      </c>
      <c r="D93" s="3"/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2">
        <v>201312</v>
      </c>
      <c r="T93" s="16" t="s">
        <v>240</v>
      </c>
    </row>
    <row r="94" spans="1:20" x14ac:dyDescent="0.25">
      <c r="A94" s="9" t="s">
        <v>186</v>
      </c>
      <c r="B94" s="2" t="s">
        <v>235</v>
      </c>
      <c r="C94" s="3" t="s">
        <v>69</v>
      </c>
      <c r="D94" s="3"/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2">
        <v>201312</v>
      </c>
      <c r="T94" s="16" t="s">
        <v>240</v>
      </c>
    </row>
    <row r="95" spans="1:20" x14ac:dyDescent="0.25">
      <c r="A95" s="9" t="s">
        <v>187</v>
      </c>
      <c r="B95" s="2" t="s">
        <v>236</v>
      </c>
      <c r="C95" s="3" t="s">
        <v>69</v>
      </c>
      <c r="D95" s="3"/>
      <c r="E95" s="4">
        <v>0</v>
      </c>
      <c r="F95" s="4">
        <v>0</v>
      </c>
      <c r="G95" s="4">
        <v>0</v>
      </c>
      <c r="H95" s="4">
        <v>564</v>
      </c>
      <c r="I95" s="4">
        <v>2717</v>
      </c>
      <c r="J95" s="4">
        <v>651</v>
      </c>
      <c r="K95" s="4">
        <v>1620</v>
      </c>
      <c r="L95" s="4">
        <v>0</v>
      </c>
      <c r="M95" s="4">
        <v>0</v>
      </c>
      <c r="N95" s="4">
        <v>2736</v>
      </c>
      <c r="O95" s="4">
        <v>0</v>
      </c>
      <c r="P95" s="4">
        <v>1391</v>
      </c>
      <c r="Q95" s="4">
        <v>564</v>
      </c>
      <c r="R95" s="4">
        <v>10243</v>
      </c>
      <c r="S95" s="2">
        <v>201312</v>
      </c>
      <c r="T95" s="16" t="s">
        <v>240</v>
      </c>
    </row>
    <row r="96" spans="1:20" x14ac:dyDescent="0.25">
      <c r="A96" s="9" t="s">
        <v>188</v>
      </c>
      <c r="B96" s="2" t="s">
        <v>64</v>
      </c>
      <c r="C96" s="3" t="s">
        <v>69</v>
      </c>
      <c r="D96" s="3"/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2">
        <v>201312</v>
      </c>
      <c r="T96" s="16" t="s">
        <v>240</v>
      </c>
    </row>
    <row r="97" spans="1:20" x14ac:dyDescent="0.25">
      <c r="A97" s="9" t="s">
        <v>189</v>
      </c>
      <c r="B97" s="2" t="s">
        <v>26</v>
      </c>
      <c r="C97" s="3" t="s">
        <v>69</v>
      </c>
      <c r="D97" s="3"/>
      <c r="E97" s="4">
        <v>0</v>
      </c>
      <c r="F97" s="4">
        <v>112.5</v>
      </c>
      <c r="G97" s="4">
        <v>1527.09</v>
      </c>
      <c r="H97" s="4">
        <v>1510.08</v>
      </c>
      <c r="I97" s="4">
        <v>1046.95</v>
      </c>
      <c r="J97" s="4">
        <v>2328.7199999999998</v>
      </c>
      <c r="K97" s="4">
        <v>2476.4699999999998</v>
      </c>
      <c r="L97" s="4">
        <v>2569.65</v>
      </c>
      <c r="M97" s="4">
        <v>3025.74</v>
      </c>
      <c r="N97" s="4">
        <v>4246.25</v>
      </c>
      <c r="O97" s="4">
        <v>137.84</v>
      </c>
      <c r="P97" s="4">
        <v>0</v>
      </c>
      <c r="Q97" s="4">
        <v>4961.91</v>
      </c>
      <c r="R97" s="4">
        <v>23943.200000000001</v>
      </c>
      <c r="S97" s="2">
        <v>201312</v>
      </c>
      <c r="T97" s="16" t="s">
        <v>240</v>
      </c>
    </row>
    <row r="98" spans="1:20" x14ac:dyDescent="0.25">
      <c r="A98" s="9" t="s">
        <v>190</v>
      </c>
      <c r="B98" s="2" t="s">
        <v>65</v>
      </c>
      <c r="C98" s="3" t="s">
        <v>69</v>
      </c>
      <c r="D98" s="3"/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2">
        <v>201312</v>
      </c>
      <c r="T98" s="16" t="s">
        <v>240</v>
      </c>
    </row>
    <row r="99" spans="1:20" x14ac:dyDescent="0.25">
      <c r="A99" s="9" t="s">
        <v>191</v>
      </c>
      <c r="B99" s="2" t="s">
        <v>237</v>
      </c>
      <c r="C99" s="3" t="s">
        <v>69</v>
      </c>
      <c r="D99" s="3"/>
      <c r="E99" s="4">
        <v>0</v>
      </c>
      <c r="F99" s="4">
        <v>36838.550000000003</v>
      </c>
      <c r="G99" s="4">
        <v>18505.66</v>
      </c>
      <c r="H99" s="4">
        <v>18563.490000000002</v>
      </c>
      <c r="I99" s="4">
        <v>18621.5</v>
      </c>
      <c r="J99" s="4">
        <v>18679.7</v>
      </c>
      <c r="K99" s="4">
        <v>18738.07</v>
      </c>
      <c r="L99" s="4">
        <v>18796.63</v>
      </c>
      <c r="M99" s="4">
        <v>18855.37</v>
      </c>
      <c r="N99" s="4">
        <v>18914.29</v>
      </c>
      <c r="O99" s="4">
        <v>18973.400000000001</v>
      </c>
      <c r="P99" s="4">
        <v>19032.689999999999</v>
      </c>
      <c r="Q99" s="4">
        <v>0</v>
      </c>
      <c r="R99" s="4">
        <v>224519.35</v>
      </c>
      <c r="S99" s="2">
        <v>201312</v>
      </c>
      <c r="T99" s="16" t="s">
        <v>240</v>
      </c>
    </row>
    <row r="100" spans="1:20" x14ac:dyDescent="0.25">
      <c r="A100" s="9" t="s">
        <v>192</v>
      </c>
      <c r="B100" s="2" t="s">
        <v>238</v>
      </c>
      <c r="C100" s="3" t="s">
        <v>69</v>
      </c>
      <c r="D100" s="3"/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2">
        <v>201312</v>
      </c>
      <c r="T100" s="16" t="s">
        <v>240</v>
      </c>
    </row>
    <row r="101" spans="1:20" x14ac:dyDescent="0.25">
      <c r="A101" s="11" t="s">
        <v>193</v>
      </c>
      <c r="B101" s="12" t="s">
        <v>239</v>
      </c>
      <c r="C101" s="13" t="s">
        <v>69</v>
      </c>
      <c r="D101" s="13"/>
      <c r="E101" s="14">
        <v>0</v>
      </c>
      <c r="F101" s="14">
        <v>-39951.050000000003</v>
      </c>
      <c r="G101" s="14">
        <v>-23032.75</v>
      </c>
      <c r="H101" s="14">
        <v>-23637.57</v>
      </c>
      <c r="I101" s="14">
        <v>-25385.45</v>
      </c>
      <c r="J101" s="14">
        <v>-24659.42</v>
      </c>
      <c r="K101" s="14">
        <v>-25834.54</v>
      </c>
      <c r="L101" s="14">
        <v>-24366.28</v>
      </c>
      <c r="M101" s="14">
        <v>-24881.11</v>
      </c>
      <c r="N101" s="14">
        <v>-28896.54</v>
      </c>
      <c r="O101" s="14">
        <v>-22111.24</v>
      </c>
      <c r="P101" s="14">
        <v>-23423.69</v>
      </c>
      <c r="Q101" s="14">
        <v>-8525.91</v>
      </c>
      <c r="R101" s="14">
        <v>-294705.55</v>
      </c>
      <c r="S101" s="12">
        <v>201312</v>
      </c>
      <c r="T101" s="17" t="s">
        <v>240</v>
      </c>
    </row>
    <row r="102" spans="1:2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opLeftCell="C63" workbookViewId="0">
      <selection activeCell="F27" sqref="F27"/>
    </sheetView>
  </sheetViews>
  <sheetFormatPr defaultRowHeight="15" x14ac:dyDescent="0.25"/>
  <cols>
    <col min="1" max="1" width="14.42578125" bestFit="1" customWidth="1"/>
    <col min="2" max="2" width="27.7109375" bestFit="1" customWidth="1"/>
    <col min="3" max="3" width="7" bestFit="1" customWidth="1"/>
    <col min="4" max="4" width="4.140625" bestFit="1" customWidth="1"/>
    <col min="5" max="5" width="12" bestFit="1" customWidth="1"/>
    <col min="6" max="16" width="9.85546875" bestFit="1" customWidth="1"/>
    <col min="17" max="17" width="10.7109375" bestFit="1" customWidth="1"/>
    <col min="18" max="18" width="12" bestFit="1" customWidth="1"/>
    <col min="19" max="19" width="13.85546875" bestFit="1" customWidth="1"/>
    <col min="20" max="20" width="11.42578125" bestFit="1" customWidth="1"/>
  </cols>
  <sheetData>
    <row r="1" spans="1:20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</row>
    <row r="2" spans="1:20" x14ac:dyDescent="0.25">
      <c r="A2" s="8" t="s">
        <v>96</v>
      </c>
      <c r="B2" s="5" t="s">
        <v>194</v>
      </c>
      <c r="C2" s="6" t="s">
        <v>66</v>
      </c>
      <c r="D2" s="6"/>
      <c r="E2" s="7">
        <v>150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150</v>
      </c>
      <c r="S2" s="5">
        <v>201212</v>
      </c>
      <c r="T2" s="15" t="s">
        <v>240</v>
      </c>
    </row>
    <row r="3" spans="1:20" x14ac:dyDescent="0.25">
      <c r="A3" s="9" t="s">
        <v>97</v>
      </c>
      <c r="B3" s="2" t="s">
        <v>195</v>
      </c>
      <c r="C3" s="3" t="s">
        <v>66</v>
      </c>
      <c r="D3" s="3"/>
      <c r="E3" s="4">
        <v>37020.480000000003</v>
      </c>
      <c r="F3" s="4">
        <v>-15566.46</v>
      </c>
      <c r="G3" s="4">
        <v>29662.45</v>
      </c>
      <c r="H3" s="4">
        <v>-13503.33</v>
      </c>
      <c r="I3" s="4">
        <v>-1738.12</v>
      </c>
      <c r="J3" s="4">
        <v>13449.38</v>
      </c>
      <c r="K3" s="4">
        <v>-16639.599999999999</v>
      </c>
      <c r="L3" s="4">
        <v>8102.23</v>
      </c>
      <c r="M3" s="4">
        <v>13712.65</v>
      </c>
      <c r="N3" s="4">
        <v>4978.05</v>
      </c>
      <c r="O3" s="4">
        <v>-44413.95</v>
      </c>
      <c r="P3" s="4">
        <v>36388.230000000003</v>
      </c>
      <c r="Q3" s="4">
        <v>25149.59</v>
      </c>
      <c r="R3" s="4">
        <v>76601.600000000006</v>
      </c>
      <c r="S3" s="2">
        <v>201212</v>
      </c>
      <c r="T3" s="16" t="s">
        <v>240</v>
      </c>
    </row>
    <row r="4" spans="1:20" x14ac:dyDescent="0.25">
      <c r="A4" s="9" t="s">
        <v>98</v>
      </c>
      <c r="B4" s="2" t="s">
        <v>20</v>
      </c>
      <c r="C4" s="3" t="s">
        <v>66</v>
      </c>
      <c r="D4" s="3"/>
      <c r="E4" s="4">
        <v>-18480.27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11154</v>
      </c>
      <c r="R4" s="4">
        <v>-7326.27</v>
      </c>
      <c r="S4" s="2">
        <v>201212</v>
      </c>
      <c r="T4" s="16" t="s">
        <v>240</v>
      </c>
    </row>
    <row r="5" spans="1:20" x14ac:dyDescent="0.25">
      <c r="A5" s="9" t="s">
        <v>99</v>
      </c>
      <c r="B5" s="2" t="s">
        <v>21</v>
      </c>
      <c r="C5" s="3" t="s">
        <v>66</v>
      </c>
      <c r="D5" s="3"/>
      <c r="E5" s="4">
        <v>18287.75</v>
      </c>
      <c r="F5" s="4">
        <v>0</v>
      </c>
      <c r="G5" s="4">
        <v>-11091.2</v>
      </c>
      <c r="H5" s="4">
        <v>7541.76</v>
      </c>
      <c r="I5" s="4">
        <v>-12868.02</v>
      </c>
      <c r="J5" s="4">
        <v>0</v>
      </c>
      <c r="K5" s="4">
        <v>6735.53</v>
      </c>
      <c r="L5" s="4">
        <v>-62</v>
      </c>
      <c r="M5" s="4">
        <v>-3322</v>
      </c>
      <c r="N5" s="4">
        <v>-20</v>
      </c>
      <c r="O5" s="4">
        <v>13620.22</v>
      </c>
      <c r="P5" s="4">
        <v>446</v>
      </c>
      <c r="Q5" s="4">
        <v>-11941.62</v>
      </c>
      <c r="R5" s="4">
        <v>7326.42</v>
      </c>
      <c r="S5" s="2">
        <v>201212</v>
      </c>
      <c r="T5" s="16" t="s">
        <v>240</v>
      </c>
    </row>
    <row r="6" spans="1:20" x14ac:dyDescent="0.25">
      <c r="A6" s="9" t="s">
        <v>100</v>
      </c>
      <c r="B6" s="2" t="s">
        <v>22</v>
      </c>
      <c r="C6" s="3" t="s">
        <v>66</v>
      </c>
      <c r="D6" s="3"/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2">
        <v>201212</v>
      </c>
      <c r="T6" s="16" t="s">
        <v>240</v>
      </c>
    </row>
    <row r="7" spans="1:20" x14ac:dyDescent="0.25">
      <c r="A7" s="9" t="s">
        <v>101</v>
      </c>
      <c r="B7" s="2" t="s">
        <v>196</v>
      </c>
      <c r="C7" s="3" t="s">
        <v>66</v>
      </c>
      <c r="D7" s="3"/>
      <c r="E7" s="4">
        <v>6514.29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6514.29</v>
      </c>
      <c r="S7" s="2">
        <v>201212</v>
      </c>
      <c r="T7" s="16" t="s">
        <v>240</v>
      </c>
    </row>
    <row r="8" spans="1:20" x14ac:dyDescent="0.25">
      <c r="A8" s="9" t="s">
        <v>102</v>
      </c>
      <c r="B8" s="2" t="s">
        <v>23</v>
      </c>
      <c r="C8" s="3" t="s">
        <v>66</v>
      </c>
      <c r="D8" s="3"/>
      <c r="E8" s="4">
        <v>33709.56</v>
      </c>
      <c r="F8" s="4">
        <v>4.43</v>
      </c>
      <c r="G8" s="4">
        <v>3.97</v>
      </c>
      <c r="H8" s="4">
        <v>2.77</v>
      </c>
      <c r="I8" s="4">
        <v>2.86</v>
      </c>
      <c r="J8" s="4">
        <v>2.86</v>
      </c>
      <c r="K8" s="4">
        <v>2.68</v>
      </c>
      <c r="L8" s="4">
        <v>2.96</v>
      </c>
      <c r="M8" s="4">
        <v>2.87</v>
      </c>
      <c r="N8" s="4">
        <v>2.59</v>
      </c>
      <c r="O8" s="4">
        <v>3.05</v>
      </c>
      <c r="P8" s="4">
        <v>2.77</v>
      </c>
      <c r="Q8" s="4">
        <v>3002.91</v>
      </c>
      <c r="R8" s="4">
        <v>36746.28</v>
      </c>
      <c r="S8" s="2">
        <v>201212</v>
      </c>
      <c r="T8" s="16" t="s">
        <v>240</v>
      </c>
    </row>
    <row r="9" spans="1:20" x14ac:dyDescent="0.25">
      <c r="A9" s="9" t="s">
        <v>103</v>
      </c>
      <c r="B9" s="2" t="s">
        <v>197</v>
      </c>
      <c r="C9" s="3" t="s">
        <v>66</v>
      </c>
      <c r="D9" s="3"/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2">
        <v>201212</v>
      </c>
      <c r="T9" s="16" t="s">
        <v>240</v>
      </c>
    </row>
    <row r="10" spans="1:20" x14ac:dyDescent="0.25">
      <c r="A10" s="9" t="s">
        <v>104</v>
      </c>
      <c r="B10" s="2" t="s">
        <v>24</v>
      </c>
      <c r="C10" s="3" t="s">
        <v>66</v>
      </c>
      <c r="D10" s="3"/>
      <c r="E10" s="4">
        <v>82007.92</v>
      </c>
      <c r="F10" s="4">
        <v>3011.11</v>
      </c>
      <c r="G10" s="4">
        <v>3010.31</v>
      </c>
      <c r="H10" s="4">
        <v>3007.47</v>
      </c>
      <c r="I10" s="4">
        <v>3007.94</v>
      </c>
      <c r="J10" s="4">
        <v>3008.22</v>
      </c>
      <c r="K10" s="4">
        <v>3007.86</v>
      </c>
      <c r="L10" s="4">
        <v>3013.44</v>
      </c>
      <c r="M10" s="4">
        <v>3013.49</v>
      </c>
      <c r="N10" s="4">
        <v>3012.48</v>
      </c>
      <c r="O10" s="4">
        <v>3015.13</v>
      </c>
      <c r="P10" s="4">
        <v>3014.18</v>
      </c>
      <c r="Q10" s="4">
        <v>3014.98</v>
      </c>
      <c r="R10" s="4">
        <v>118144.53</v>
      </c>
      <c r="S10" s="2">
        <v>201212</v>
      </c>
      <c r="T10" s="16" t="s">
        <v>240</v>
      </c>
    </row>
    <row r="11" spans="1:20" x14ac:dyDescent="0.25">
      <c r="A11" s="9" t="s">
        <v>105</v>
      </c>
      <c r="B11" s="2" t="s">
        <v>198</v>
      </c>
      <c r="C11" s="3" t="s">
        <v>66</v>
      </c>
      <c r="D11" s="3"/>
      <c r="E11" s="4">
        <v>344596.16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344596.16</v>
      </c>
      <c r="S11" s="2">
        <v>201212</v>
      </c>
      <c r="T11" s="16" t="s">
        <v>240</v>
      </c>
    </row>
    <row r="12" spans="1:20" x14ac:dyDescent="0.25">
      <c r="A12" s="9" t="s">
        <v>106</v>
      </c>
      <c r="B12" s="2" t="s">
        <v>199</v>
      </c>
      <c r="C12" s="3" t="s">
        <v>66</v>
      </c>
      <c r="D12" s="3"/>
      <c r="E12" s="4">
        <v>3370296.2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-154145</v>
      </c>
      <c r="R12" s="4">
        <v>3216151.2</v>
      </c>
      <c r="S12" s="2">
        <v>201212</v>
      </c>
      <c r="T12" s="16" t="s">
        <v>240</v>
      </c>
    </row>
    <row r="13" spans="1:20" x14ac:dyDescent="0.25">
      <c r="A13" s="9" t="s">
        <v>107</v>
      </c>
      <c r="B13" s="2" t="s">
        <v>25</v>
      </c>
      <c r="C13" s="3" t="s">
        <v>66</v>
      </c>
      <c r="D13" s="3"/>
      <c r="E13" s="4">
        <v>34517.5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154416.41</v>
      </c>
      <c r="R13" s="4">
        <v>188933.91</v>
      </c>
      <c r="S13" s="2">
        <v>201212</v>
      </c>
      <c r="T13" s="16" t="s">
        <v>240</v>
      </c>
    </row>
    <row r="14" spans="1:20" x14ac:dyDescent="0.25">
      <c r="A14" s="9" t="s">
        <v>108</v>
      </c>
      <c r="B14" s="2" t="s">
        <v>200</v>
      </c>
      <c r="C14" s="3" t="s">
        <v>66</v>
      </c>
      <c r="D14" s="3"/>
      <c r="E14" s="4">
        <v>237394.89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237394.89</v>
      </c>
      <c r="S14" s="2">
        <v>201212</v>
      </c>
      <c r="T14" s="16" t="s">
        <v>240</v>
      </c>
    </row>
    <row r="15" spans="1:20" x14ac:dyDescent="0.25">
      <c r="A15" s="9" t="s">
        <v>109</v>
      </c>
      <c r="B15" s="2" t="s">
        <v>201</v>
      </c>
      <c r="C15" s="3" t="s">
        <v>66</v>
      </c>
      <c r="D15" s="3"/>
      <c r="E15" s="4">
        <v>73512.990000000005</v>
      </c>
      <c r="F15" s="4">
        <v>752</v>
      </c>
      <c r="G15" s="4">
        <v>1002</v>
      </c>
      <c r="H15" s="4">
        <v>0</v>
      </c>
      <c r="I15" s="4">
        <v>752</v>
      </c>
      <c r="J15" s="4">
        <v>1365</v>
      </c>
      <c r="K15" s="4">
        <v>1847</v>
      </c>
      <c r="L15" s="4">
        <v>0</v>
      </c>
      <c r="M15" s="4">
        <v>3571</v>
      </c>
      <c r="N15" s="4">
        <v>910</v>
      </c>
      <c r="O15" s="4">
        <v>255</v>
      </c>
      <c r="P15" s="4">
        <v>752</v>
      </c>
      <c r="Q15" s="4">
        <v>0</v>
      </c>
      <c r="R15" s="4">
        <v>84718.99</v>
      </c>
      <c r="S15" s="2">
        <v>201212</v>
      </c>
      <c r="T15" s="16" t="s">
        <v>240</v>
      </c>
    </row>
    <row r="16" spans="1:20" x14ac:dyDescent="0.25">
      <c r="A16" s="9" t="s">
        <v>110</v>
      </c>
      <c r="B16" s="2" t="s">
        <v>202</v>
      </c>
      <c r="C16" s="3" t="s">
        <v>66</v>
      </c>
      <c r="D16" s="3"/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">
        <v>201212</v>
      </c>
      <c r="T16" s="16" t="s">
        <v>240</v>
      </c>
    </row>
    <row r="17" spans="1:20" x14ac:dyDescent="0.25">
      <c r="A17" s="9" t="s">
        <v>111</v>
      </c>
      <c r="B17" s="2" t="s">
        <v>64</v>
      </c>
      <c r="C17" s="3" t="s">
        <v>66</v>
      </c>
      <c r="D17" s="3"/>
      <c r="E17" s="4">
        <v>600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600</v>
      </c>
      <c r="S17" s="2">
        <v>201212</v>
      </c>
      <c r="T17" s="16" t="s">
        <v>240</v>
      </c>
    </row>
    <row r="18" spans="1:20" x14ac:dyDescent="0.25">
      <c r="A18" s="9" t="s">
        <v>112</v>
      </c>
      <c r="B18" s="2" t="s">
        <v>26</v>
      </c>
      <c r="C18" s="3" t="s">
        <v>66</v>
      </c>
      <c r="D18" s="3"/>
      <c r="E18" s="4">
        <v>148628.01999999999</v>
      </c>
      <c r="F18" s="4">
        <v>422.27</v>
      </c>
      <c r="G18" s="4">
        <v>2123.1999999999998</v>
      </c>
      <c r="H18" s="4">
        <v>2264.13</v>
      </c>
      <c r="I18" s="4">
        <v>3434.62</v>
      </c>
      <c r="J18" s="4">
        <v>2889.2</v>
      </c>
      <c r="K18" s="4">
        <v>286.14999999999998</v>
      </c>
      <c r="L18" s="4">
        <v>1518.56</v>
      </c>
      <c r="M18" s="4">
        <v>3188.4</v>
      </c>
      <c r="N18" s="4">
        <v>963.23</v>
      </c>
      <c r="O18" s="4">
        <v>342.57</v>
      </c>
      <c r="P18" s="4">
        <v>0</v>
      </c>
      <c r="Q18" s="4">
        <v>896.06</v>
      </c>
      <c r="R18" s="4">
        <v>166956.41</v>
      </c>
      <c r="S18" s="2">
        <v>201212</v>
      </c>
      <c r="T18" s="16" t="s">
        <v>240</v>
      </c>
    </row>
    <row r="19" spans="1:20" x14ac:dyDescent="0.25">
      <c r="A19" s="9" t="s">
        <v>113</v>
      </c>
      <c r="B19" s="2" t="s">
        <v>65</v>
      </c>
      <c r="C19" s="3" t="s">
        <v>66</v>
      </c>
      <c r="D19" s="3"/>
      <c r="E19" s="4">
        <v>21844.68</v>
      </c>
      <c r="F19" s="4">
        <v>0</v>
      </c>
      <c r="G19" s="4">
        <v>0</v>
      </c>
      <c r="H19" s="4">
        <v>10981.19</v>
      </c>
      <c r="I19" s="4">
        <v>10981.18</v>
      </c>
      <c r="J19" s="4">
        <v>0</v>
      </c>
      <c r="K19" s="4">
        <v>0</v>
      </c>
      <c r="L19" s="4">
        <v>910</v>
      </c>
      <c r="M19" s="4">
        <v>1350</v>
      </c>
      <c r="N19" s="4">
        <v>-910</v>
      </c>
      <c r="O19" s="4">
        <v>0</v>
      </c>
      <c r="P19" s="4">
        <v>0</v>
      </c>
      <c r="Q19" s="4">
        <v>0</v>
      </c>
      <c r="R19" s="4">
        <v>45157.05</v>
      </c>
      <c r="S19" s="2">
        <v>201212</v>
      </c>
      <c r="T19" s="16" t="s">
        <v>240</v>
      </c>
    </row>
    <row r="20" spans="1:20" x14ac:dyDescent="0.25">
      <c r="A20" s="9" t="s">
        <v>114</v>
      </c>
      <c r="B20" s="2" t="s">
        <v>27</v>
      </c>
      <c r="C20" s="3" t="s">
        <v>67</v>
      </c>
      <c r="D20" s="3"/>
      <c r="E20" s="4">
        <v>-932247.83</v>
      </c>
      <c r="F20" s="4">
        <v>-23975.06</v>
      </c>
      <c r="G20" s="4">
        <v>224.95</v>
      </c>
      <c r="H20" s="4">
        <v>1522.81</v>
      </c>
      <c r="I20" s="4">
        <v>-3823.29</v>
      </c>
      <c r="J20" s="4">
        <v>-149.66</v>
      </c>
      <c r="K20" s="4">
        <v>23093.84</v>
      </c>
      <c r="L20" s="4">
        <v>-4472.6400000000003</v>
      </c>
      <c r="M20" s="4">
        <v>-2818.52</v>
      </c>
      <c r="N20" s="4">
        <v>7982.09</v>
      </c>
      <c r="O20" s="4">
        <v>56034.86</v>
      </c>
      <c r="P20" s="4">
        <v>-11837.73</v>
      </c>
      <c r="Q20" s="4">
        <v>7424.7</v>
      </c>
      <c r="R20" s="4">
        <v>-883041.48</v>
      </c>
      <c r="S20" s="2">
        <v>201212</v>
      </c>
      <c r="T20" s="16" t="s">
        <v>240</v>
      </c>
    </row>
    <row r="21" spans="1:20" x14ac:dyDescent="0.25">
      <c r="A21" s="9" t="s">
        <v>115</v>
      </c>
      <c r="B21" s="2" t="s">
        <v>28</v>
      </c>
      <c r="C21" s="3" t="s">
        <v>67</v>
      </c>
      <c r="D21" s="3"/>
      <c r="E21" s="4">
        <v>-7410.33</v>
      </c>
      <c r="F21" s="4">
        <v>7410.33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-9334.51</v>
      </c>
      <c r="R21" s="4">
        <v>-9334.51</v>
      </c>
      <c r="S21" s="2">
        <v>201212</v>
      </c>
      <c r="T21" s="16" t="s">
        <v>240</v>
      </c>
    </row>
    <row r="22" spans="1:20" x14ac:dyDescent="0.25">
      <c r="A22" s="9" t="s">
        <v>116</v>
      </c>
      <c r="B22" s="2" t="s">
        <v>29</v>
      </c>
      <c r="C22" s="3" t="s">
        <v>67</v>
      </c>
      <c r="D22" s="3"/>
      <c r="E22" s="4">
        <v>-51954.11</v>
      </c>
      <c r="F22" s="4">
        <v>-2990.72</v>
      </c>
      <c r="G22" s="4">
        <v>-240.09</v>
      </c>
      <c r="H22" s="4">
        <v>-911.57</v>
      </c>
      <c r="I22" s="4">
        <v>-475.03</v>
      </c>
      <c r="J22" s="4">
        <v>-479.68</v>
      </c>
      <c r="K22" s="4">
        <v>2535.0500000000002</v>
      </c>
      <c r="L22" s="4">
        <v>-235.48</v>
      </c>
      <c r="M22" s="4">
        <v>-297.57</v>
      </c>
      <c r="N22" s="4">
        <v>2805.92</v>
      </c>
      <c r="O22" s="4">
        <v>6690.28</v>
      </c>
      <c r="P22" s="4">
        <v>-3744.18</v>
      </c>
      <c r="Q22" s="4">
        <v>3720.15</v>
      </c>
      <c r="R22" s="4">
        <v>-45577.03</v>
      </c>
      <c r="S22" s="2">
        <v>201212</v>
      </c>
      <c r="T22" s="16" t="s">
        <v>240</v>
      </c>
    </row>
    <row r="23" spans="1:20" x14ac:dyDescent="0.25">
      <c r="A23" s="9" t="s">
        <v>117</v>
      </c>
      <c r="B23" s="2" t="s">
        <v>30</v>
      </c>
      <c r="C23" s="3" t="s">
        <v>67</v>
      </c>
      <c r="D23" s="3"/>
      <c r="E23" s="4">
        <v>-23106</v>
      </c>
      <c r="F23" s="4">
        <v>-500</v>
      </c>
      <c r="G23" s="4">
        <v>-388</v>
      </c>
      <c r="H23" s="4">
        <v>888</v>
      </c>
      <c r="I23" s="4">
        <v>-500</v>
      </c>
      <c r="J23" s="4">
        <v>-610</v>
      </c>
      <c r="K23" s="4">
        <v>308</v>
      </c>
      <c r="L23" s="4">
        <v>-955</v>
      </c>
      <c r="M23" s="4">
        <v>-1250</v>
      </c>
      <c r="N23" s="4">
        <v>-611.99</v>
      </c>
      <c r="O23" s="4">
        <v>2108.9899999999998</v>
      </c>
      <c r="P23" s="4">
        <v>0</v>
      </c>
      <c r="Q23" s="4">
        <v>506</v>
      </c>
      <c r="R23" s="4">
        <v>-24110</v>
      </c>
      <c r="S23" s="2">
        <v>201212</v>
      </c>
      <c r="T23" s="16" t="s">
        <v>240</v>
      </c>
    </row>
    <row r="24" spans="1:20" x14ac:dyDescent="0.25">
      <c r="A24" s="9" t="s">
        <v>118</v>
      </c>
      <c r="B24" s="2" t="s">
        <v>203</v>
      </c>
      <c r="C24" s="3" t="s">
        <v>67</v>
      </c>
      <c r="D24" s="3"/>
      <c r="E24" s="4">
        <v>-8880</v>
      </c>
      <c r="F24" s="4">
        <v>-400</v>
      </c>
      <c r="G24" s="4">
        <v>-960</v>
      </c>
      <c r="H24" s="4">
        <v>-840</v>
      </c>
      <c r="I24" s="4">
        <v>-500</v>
      </c>
      <c r="J24" s="4">
        <v>-350</v>
      </c>
      <c r="K24" s="4">
        <v>230</v>
      </c>
      <c r="L24" s="4">
        <v>-800</v>
      </c>
      <c r="M24" s="4">
        <v>-250</v>
      </c>
      <c r="N24" s="4">
        <v>-250</v>
      </c>
      <c r="O24" s="4">
        <v>1000</v>
      </c>
      <c r="P24" s="4">
        <v>-200</v>
      </c>
      <c r="Q24" s="4">
        <v>600</v>
      </c>
      <c r="R24" s="4">
        <v>-11600</v>
      </c>
      <c r="S24" s="2">
        <v>201212</v>
      </c>
      <c r="T24" s="16" t="s">
        <v>240</v>
      </c>
    </row>
    <row r="25" spans="1:20" x14ac:dyDescent="0.25">
      <c r="A25" s="9" t="s">
        <v>119</v>
      </c>
      <c r="B25" s="2" t="s">
        <v>204</v>
      </c>
      <c r="C25" s="3" t="s">
        <v>67</v>
      </c>
      <c r="D25" s="3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-5477</v>
      </c>
      <c r="R25" s="4">
        <v>-5477</v>
      </c>
      <c r="S25" s="2">
        <v>201212</v>
      </c>
      <c r="T25" s="16" t="s">
        <v>240</v>
      </c>
    </row>
    <row r="26" spans="1:20" x14ac:dyDescent="0.25">
      <c r="A26" s="9" t="s">
        <v>120</v>
      </c>
      <c r="B26" s="2" t="s">
        <v>205</v>
      </c>
      <c r="C26" s="3" t="s">
        <v>67</v>
      </c>
      <c r="D26" s="3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2">
        <v>201212</v>
      </c>
      <c r="T26" s="16" t="s">
        <v>240</v>
      </c>
    </row>
    <row r="27" spans="1:20" x14ac:dyDescent="0.25">
      <c r="A27" s="9" t="s">
        <v>121</v>
      </c>
      <c r="B27" s="2" t="s">
        <v>206</v>
      </c>
      <c r="C27" s="3" t="s">
        <v>67</v>
      </c>
      <c r="D27" s="3"/>
      <c r="E27" s="4">
        <v>-1337664.6299999999</v>
      </c>
      <c r="F27" s="4">
        <v>33314.620000000003</v>
      </c>
      <c r="G27" s="4">
        <v>0</v>
      </c>
      <c r="H27" s="4">
        <v>34674.07</v>
      </c>
      <c r="I27" s="4">
        <v>17937.18</v>
      </c>
      <c r="J27" s="4">
        <v>17993.23</v>
      </c>
      <c r="K27" s="4">
        <v>18049.46</v>
      </c>
      <c r="L27" s="4">
        <v>18105.87</v>
      </c>
      <c r="M27" s="4">
        <v>18162.45</v>
      </c>
      <c r="N27" s="4">
        <v>18219.2</v>
      </c>
      <c r="O27" s="4">
        <v>18276.14</v>
      </c>
      <c r="P27" s="4">
        <v>18333.25</v>
      </c>
      <c r="Q27" s="4">
        <v>0</v>
      </c>
      <c r="R27" s="4">
        <v>-1124599.1599999999</v>
      </c>
      <c r="S27" s="2">
        <v>201212</v>
      </c>
      <c r="T27" s="16" t="s">
        <v>240</v>
      </c>
    </row>
    <row r="28" spans="1:20" x14ac:dyDescent="0.25">
      <c r="A28" s="9" t="s">
        <v>122</v>
      </c>
      <c r="B28" s="2" t="s">
        <v>31</v>
      </c>
      <c r="C28" s="3" t="s">
        <v>66</v>
      </c>
      <c r="D28" s="3"/>
      <c r="E28" s="4">
        <v>-1589617.63</v>
      </c>
      <c r="F28" s="4">
        <v>-10500</v>
      </c>
      <c r="G28" s="4">
        <v>-10500</v>
      </c>
      <c r="H28" s="4">
        <v>-10500</v>
      </c>
      <c r="I28" s="4">
        <v>-10500</v>
      </c>
      <c r="J28" s="4">
        <v>-8400</v>
      </c>
      <c r="K28" s="4">
        <v>-15026.04</v>
      </c>
      <c r="L28" s="4">
        <v>-10900</v>
      </c>
      <c r="M28" s="4">
        <v>-10900</v>
      </c>
      <c r="N28" s="4">
        <v>-11437.53</v>
      </c>
      <c r="O28" s="4">
        <v>-10962.62</v>
      </c>
      <c r="P28" s="4">
        <v>-10962.62</v>
      </c>
      <c r="Q28" s="4">
        <v>-11014.45</v>
      </c>
      <c r="R28" s="4">
        <v>-1721220.89</v>
      </c>
      <c r="S28" s="2">
        <v>201212</v>
      </c>
      <c r="T28" s="16" t="s">
        <v>240</v>
      </c>
    </row>
    <row r="29" spans="1:20" x14ac:dyDescent="0.25">
      <c r="A29" s="9" t="s">
        <v>123</v>
      </c>
      <c r="B29" s="2" t="s">
        <v>207</v>
      </c>
      <c r="C29" s="3" t="s">
        <v>67</v>
      </c>
      <c r="D29" s="3"/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2">
        <v>201212</v>
      </c>
      <c r="T29" s="16" t="s">
        <v>240</v>
      </c>
    </row>
    <row r="30" spans="1:20" x14ac:dyDescent="0.25">
      <c r="A30" s="9" t="s">
        <v>124</v>
      </c>
      <c r="B30" s="2" t="s">
        <v>208</v>
      </c>
      <c r="C30" s="3" t="s">
        <v>67</v>
      </c>
      <c r="D30" s="3"/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">
        <v>201212</v>
      </c>
      <c r="T30" s="16" t="s">
        <v>240</v>
      </c>
    </row>
    <row r="31" spans="1:20" x14ac:dyDescent="0.25">
      <c r="A31" s="9" t="s">
        <v>125</v>
      </c>
      <c r="B31" s="2" t="s">
        <v>209</v>
      </c>
      <c r="C31" s="3" t="s">
        <v>67</v>
      </c>
      <c r="D31" s="3"/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">
        <v>201212</v>
      </c>
      <c r="T31" s="16" t="s">
        <v>240</v>
      </c>
    </row>
    <row r="32" spans="1:20" x14ac:dyDescent="0.25">
      <c r="A32" s="9" t="s">
        <v>126</v>
      </c>
      <c r="B32" s="2" t="s">
        <v>210</v>
      </c>
      <c r="C32" s="3" t="s">
        <v>67</v>
      </c>
      <c r="D32" s="3"/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2">
        <v>201212</v>
      </c>
      <c r="T32" s="16" t="s">
        <v>240</v>
      </c>
    </row>
    <row r="33" spans="1:20" x14ac:dyDescent="0.25">
      <c r="A33" s="9" t="s">
        <v>127</v>
      </c>
      <c r="B33" s="2" t="s">
        <v>211</v>
      </c>
      <c r="C33" s="3" t="s">
        <v>67</v>
      </c>
      <c r="D33" s="3"/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2">
        <v>201212</v>
      </c>
      <c r="T33" s="16" t="s">
        <v>240</v>
      </c>
    </row>
    <row r="34" spans="1:20" x14ac:dyDescent="0.25">
      <c r="A34" s="9" t="s">
        <v>128</v>
      </c>
      <c r="B34" s="2" t="s">
        <v>212</v>
      </c>
      <c r="C34" s="3" t="s">
        <v>67</v>
      </c>
      <c r="D34" s="3"/>
      <c r="E34" s="4">
        <v>43078.2</v>
      </c>
      <c r="F34" s="4">
        <v>86081.61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129159.81</v>
      </c>
      <c r="S34" s="2">
        <v>201212</v>
      </c>
      <c r="T34" s="16" t="s">
        <v>240</v>
      </c>
    </row>
    <row r="35" spans="1:20" x14ac:dyDescent="0.25">
      <c r="A35" s="9" t="s">
        <v>129</v>
      </c>
      <c r="B35" s="2" t="s">
        <v>213</v>
      </c>
      <c r="C35" s="3" t="s">
        <v>67</v>
      </c>
      <c r="D35" s="3"/>
      <c r="E35" s="4">
        <v>-293000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-293000</v>
      </c>
      <c r="S35" s="2">
        <v>201212</v>
      </c>
      <c r="T35" s="16" t="s">
        <v>240</v>
      </c>
    </row>
    <row r="36" spans="1:20" x14ac:dyDescent="0.25">
      <c r="A36" s="9" t="s">
        <v>130</v>
      </c>
      <c r="B36" s="2" t="s">
        <v>32</v>
      </c>
      <c r="C36" s="3" t="s">
        <v>67</v>
      </c>
      <c r="D36" s="3"/>
      <c r="E36" s="4">
        <v>505064.02</v>
      </c>
      <c r="F36" s="4">
        <v>-86081.61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418982.41</v>
      </c>
      <c r="S36" s="2">
        <v>201212</v>
      </c>
      <c r="T36" s="16" t="s">
        <v>240</v>
      </c>
    </row>
    <row r="37" spans="1:20" x14ac:dyDescent="0.25">
      <c r="A37" s="9" t="s">
        <v>131</v>
      </c>
      <c r="B37" s="2" t="s">
        <v>214</v>
      </c>
      <c r="C37" s="3" t="s">
        <v>67</v>
      </c>
      <c r="D37" s="3"/>
      <c r="E37" s="4">
        <v>-565702.05000000005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-565702.05000000005</v>
      </c>
      <c r="S37" s="2">
        <v>201212</v>
      </c>
      <c r="T37" s="16" t="s">
        <v>240</v>
      </c>
    </row>
    <row r="38" spans="1:20" x14ac:dyDescent="0.25">
      <c r="A38" s="9" t="s">
        <v>132</v>
      </c>
      <c r="B38" s="2" t="s">
        <v>33</v>
      </c>
      <c r="C38" s="3" t="s">
        <v>68</v>
      </c>
      <c r="D38" s="3"/>
      <c r="E38" s="4">
        <v>0</v>
      </c>
      <c r="F38" s="4">
        <v>-56927.73</v>
      </c>
      <c r="G38" s="4">
        <v>-61928.85</v>
      </c>
      <c r="H38" s="4">
        <v>-75307.77</v>
      </c>
      <c r="I38" s="4">
        <v>-63777.17</v>
      </c>
      <c r="J38" s="4">
        <v>-64071.87</v>
      </c>
      <c r="K38" s="4">
        <v>-64661.32</v>
      </c>
      <c r="L38" s="4">
        <v>-65044.81</v>
      </c>
      <c r="M38" s="4">
        <v>-70240.5</v>
      </c>
      <c r="N38" s="4">
        <v>-63912.24</v>
      </c>
      <c r="O38" s="4">
        <v>-71106.09</v>
      </c>
      <c r="P38" s="4">
        <v>-75413.5</v>
      </c>
      <c r="Q38" s="4">
        <v>-60822.73</v>
      </c>
      <c r="R38" s="4">
        <v>-793214.58</v>
      </c>
      <c r="S38" s="2">
        <v>201212</v>
      </c>
      <c r="T38" s="16" t="s">
        <v>240</v>
      </c>
    </row>
    <row r="39" spans="1:20" x14ac:dyDescent="0.25">
      <c r="A39" s="9" t="s">
        <v>133</v>
      </c>
      <c r="B39" s="2" t="s">
        <v>215</v>
      </c>
      <c r="C39" s="3" t="s">
        <v>68</v>
      </c>
      <c r="D39" s="3"/>
      <c r="E39" s="4">
        <v>0</v>
      </c>
      <c r="F39" s="4">
        <v>0</v>
      </c>
      <c r="G39" s="4">
        <v>0</v>
      </c>
      <c r="H39" s="4">
        <v>1985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1985</v>
      </c>
      <c r="S39" s="2">
        <v>201212</v>
      </c>
      <c r="T39" s="16" t="s">
        <v>240</v>
      </c>
    </row>
    <row r="40" spans="1:20" x14ac:dyDescent="0.25">
      <c r="A40" s="9" t="s">
        <v>134</v>
      </c>
      <c r="B40" s="2" t="s">
        <v>216</v>
      </c>
      <c r="C40" s="3" t="s">
        <v>68</v>
      </c>
      <c r="D40" s="3"/>
      <c r="E40" s="4">
        <v>0</v>
      </c>
      <c r="F40" s="4">
        <v>-2769.69</v>
      </c>
      <c r="G40" s="4">
        <v>-2905.14</v>
      </c>
      <c r="H40" s="4">
        <v>-4105.17</v>
      </c>
      <c r="I40" s="4">
        <v>-3090.01</v>
      </c>
      <c r="J40" s="4">
        <v>-3160.28</v>
      </c>
      <c r="K40" s="4">
        <v>-3003.65</v>
      </c>
      <c r="L40" s="4">
        <v>-3115.8</v>
      </c>
      <c r="M40" s="4">
        <v>-3419.43</v>
      </c>
      <c r="N40" s="4">
        <v>-3021.51</v>
      </c>
      <c r="O40" s="4">
        <v>-3375.49</v>
      </c>
      <c r="P40" s="4">
        <v>-3529.18</v>
      </c>
      <c r="Q40" s="4">
        <v>-3834.65</v>
      </c>
      <c r="R40" s="4">
        <v>-39330</v>
      </c>
      <c r="S40" s="2">
        <v>201212</v>
      </c>
      <c r="T40" s="16" t="s">
        <v>240</v>
      </c>
    </row>
    <row r="41" spans="1:20" x14ac:dyDescent="0.25">
      <c r="A41" s="9" t="s">
        <v>135</v>
      </c>
      <c r="B41" s="2" t="s">
        <v>34</v>
      </c>
      <c r="C41" s="3" t="s">
        <v>68</v>
      </c>
      <c r="D41" s="3"/>
      <c r="E41" s="4">
        <v>0</v>
      </c>
      <c r="F41" s="4">
        <v>1987</v>
      </c>
      <c r="G41" s="4">
        <v>3178</v>
      </c>
      <c r="H41" s="4">
        <v>1160</v>
      </c>
      <c r="I41" s="4">
        <v>1935</v>
      </c>
      <c r="J41" s="4">
        <v>0</v>
      </c>
      <c r="K41" s="4">
        <v>604.62</v>
      </c>
      <c r="L41" s="4">
        <v>1285</v>
      </c>
      <c r="M41" s="4">
        <v>585</v>
      </c>
      <c r="N41" s="4">
        <v>1526</v>
      </c>
      <c r="O41" s="4">
        <v>-1530</v>
      </c>
      <c r="P41" s="4">
        <v>1323</v>
      </c>
      <c r="Q41" s="4">
        <v>1285</v>
      </c>
      <c r="R41" s="4">
        <v>13338.62</v>
      </c>
      <c r="S41" s="2">
        <v>201212</v>
      </c>
      <c r="T41" s="16" t="s">
        <v>240</v>
      </c>
    </row>
    <row r="42" spans="1:20" x14ac:dyDescent="0.25">
      <c r="A42" s="9" t="s">
        <v>136</v>
      </c>
      <c r="B42" s="2" t="s">
        <v>35</v>
      </c>
      <c r="C42" s="3" t="s">
        <v>68</v>
      </c>
      <c r="D42" s="3"/>
      <c r="E42" s="4">
        <v>0</v>
      </c>
      <c r="F42" s="4">
        <v>-15.54</v>
      </c>
      <c r="G42" s="4">
        <v>-14.28</v>
      </c>
      <c r="H42" s="4">
        <v>-10.24</v>
      </c>
      <c r="I42" s="4">
        <v>-10.8</v>
      </c>
      <c r="J42" s="4">
        <v>-11.08</v>
      </c>
      <c r="K42" s="4">
        <v>-10.54</v>
      </c>
      <c r="L42" s="4">
        <v>-16.399999999999999</v>
      </c>
      <c r="M42" s="4">
        <v>-16.36</v>
      </c>
      <c r="N42" s="4">
        <v>-15.07</v>
      </c>
      <c r="O42" s="4">
        <v>-18.18</v>
      </c>
      <c r="P42" s="4">
        <v>-16.95</v>
      </c>
      <c r="Q42" s="4">
        <v>-17.89</v>
      </c>
      <c r="R42" s="4">
        <v>-173.33</v>
      </c>
      <c r="S42" s="2">
        <v>201212</v>
      </c>
      <c r="T42" s="16" t="s">
        <v>240</v>
      </c>
    </row>
    <row r="43" spans="1:20" x14ac:dyDescent="0.25">
      <c r="A43" s="9" t="s">
        <v>137</v>
      </c>
      <c r="B43" s="2" t="s">
        <v>217</v>
      </c>
      <c r="C43" s="3" t="s">
        <v>68</v>
      </c>
      <c r="D43" s="3"/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2">
        <v>201212</v>
      </c>
      <c r="T43" s="16" t="s">
        <v>240</v>
      </c>
    </row>
    <row r="44" spans="1:20" x14ac:dyDescent="0.25">
      <c r="A44" s="9" t="s">
        <v>138</v>
      </c>
      <c r="B44" s="2" t="s">
        <v>36</v>
      </c>
      <c r="C44" s="3" t="s">
        <v>68</v>
      </c>
      <c r="D44" s="3"/>
      <c r="E44" s="4">
        <v>0</v>
      </c>
      <c r="F44" s="4">
        <v>-688.94</v>
      </c>
      <c r="G44" s="4">
        <v>-958.07</v>
      </c>
      <c r="H44" s="4">
        <v>-729.02</v>
      </c>
      <c r="I44" s="4">
        <v>-811.16</v>
      </c>
      <c r="J44" s="4">
        <v>-900.16</v>
      </c>
      <c r="K44" s="4">
        <v>-713.04</v>
      </c>
      <c r="L44" s="4">
        <v>-702.52</v>
      </c>
      <c r="M44" s="4">
        <v>-663.44</v>
      </c>
      <c r="N44" s="4">
        <v>-725.96</v>
      </c>
      <c r="O44" s="4">
        <v>-853.04</v>
      </c>
      <c r="P44" s="4">
        <v>-517.28</v>
      </c>
      <c r="Q44" s="4">
        <v>-1156.33</v>
      </c>
      <c r="R44" s="4">
        <v>-9418.9599999999991</v>
      </c>
      <c r="S44" s="2">
        <v>201212</v>
      </c>
      <c r="T44" s="16" t="s">
        <v>240</v>
      </c>
    </row>
    <row r="45" spans="1:20" x14ac:dyDescent="0.25">
      <c r="A45" s="9" t="s">
        <v>139</v>
      </c>
      <c r="B45" s="2" t="s">
        <v>37</v>
      </c>
      <c r="C45" s="3" t="s">
        <v>68</v>
      </c>
      <c r="D45" s="3"/>
      <c r="E45" s="4">
        <v>0</v>
      </c>
      <c r="F45" s="4">
        <v>-670</v>
      </c>
      <c r="G45" s="4">
        <v>-779</v>
      </c>
      <c r="H45" s="4">
        <v>-1644</v>
      </c>
      <c r="I45" s="4">
        <v>-630</v>
      </c>
      <c r="J45" s="4">
        <v>-530</v>
      </c>
      <c r="K45" s="4">
        <v>-1111</v>
      </c>
      <c r="L45" s="4">
        <v>-835</v>
      </c>
      <c r="M45" s="4">
        <v>-1120</v>
      </c>
      <c r="N45" s="4">
        <v>-770</v>
      </c>
      <c r="O45" s="4">
        <v>-1400</v>
      </c>
      <c r="P45" s="4">
        <v>-740</v>
      </c>
      <c r="Q45" s="4">
        <v>-1060</v>
      </c>
      <c r="R45" s="4">
        <v>-11289</v>
      </c>
      <c r="S45" s="2">
        <v>201212</v>
      </c>
      <c r="T45" s="16" t="s">
        <v>240</v>
      </c>
    </row>
    <row r="46" spans="1:20" x14ac:dyDescent="0.25">
      <c r="A46" s="9" t="s">
        <v>140</v>
      </c>
      <c r="B46" s="2" t="s">
        <v>218</v>
      </c>
      <c r="C46" s="3" t="s">
        <v>68</v>
      </c>
      <c r="D46" s="3"/>
      <c r="E46" s="4">
        <v>0</v>
      </c>
      <c r="F46" s="4">
        <v>0</v>
      </c>
      <c r="G46" s="4">
        <v>-610</v>
      </c>
      <c r="H46" s="4">
        <v>-5280.49</v>
      </c>
      <c r="I46" s="4">
        <v>0</v>
      </c>
      <c r="J46" s="4">
        <v>0</v>
      </c>
      <c r="K46" s="4">
        <v>-1345</v>
      </c>
      <c r="L46" s="4">
        <v>0</v>
      </c>
      <c r="M46" s="4">
        <v>0</v>
      </c>
      <c r="N46" s="4">
        <v>0</v>
      </c>
      <c r="O46" s="4">
        <v>-4145</v>
      </c>
      <c r="P46" s="4">
        <v>0</v>
      </c>
      <c r="Q46" s="4">
        <v>0</v>
      </c>
      <c r="R46" s="4">
        <v>-11380.49</v>
      </c>
      <c r="S46" s="2">
        <v>201212</v>
      </c>
      <c r="T46" s="16" t="s">
        <v>240</v>
      </c>
    </row>
    <row r="47" spans="1:20" x14ac:dyDescent="0.25">
      <c r="A47" s="9" t="s">
        <v>141</v>
      </c>
      <c r="B47" s="2" t="s">
        <v>219</v>
      </c>
      <c r="C47" s="3" t="s">
        <v>68</v>
      </c>
      <c r="D47" s="3"/>
      <c r="E47" s="4">
        <v>0</v>
      </c>
      <c r="F47" s="4">
        <v>-745.13</v>
      </c>
      <c r="G47" s="4">
        <v>-478.13</v>
      </c>
      <c r="H47" s="4">
        <v>-504.69</v>
      </c>
      <c r="I47" s="4">
        <v>-559.13</v>
      </c>
      <c r="J47" s="4">
        <v>-913.64</v>
      </c>
      <c r="K47" s="4">
        <v>-595.9</v>
      </c>
      <c r="L47" s="4">
        <v>-1772.84</v>
      </c>
      <c r="M47" s="4">
        <v>-1181.3900000000001</v>
      </c>
      <c r="N47" s="4">
        <v>-3222.71</v>
      </c>
      <c r="O47" s="4">
        <v>-1001.44</v>
      </c>
      <c r="P47" s="4">
        <v>-859.44</v>
      </c>
      <c r="Q47" s="4">
        <v>-1741.75</v>
      </c>
      <c r="R47" s="4">
        <v>-13576.19</v>
      </c>
      <c r="S47" s="2">
        <v>201212</v>
      </c>
      <c r="T47" s="16" t="s">
        <v>240</v>
      </c>
    </row>
    <row r="48" spans="1:20" x14ac:dyDescent="0.25">
      <c r="A48" s="9" t="s">
        <v>142</v>
      </c>
      <c r="B48" s="2" t="s">
        <v>220</v>
      </c>
      <c r="C48" s="3" t="s">
        <v>68</v>
      </c>
      <c r="D48" s="3"/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2">
        <v>201212</v>
      </c>
      <c r="T48" s="16" t="s">
        <v>240</v>
      </c>
    </row>
    <row r="49" spans="1:20" x14ac:dyDescent="0.25">
      <c r="A49" s="9" t="s">
        <v>143</v>
      </c>
      <c r="B49" s="2" t="s">
        <v>38</v>
      </c>
      <c r="C49" s="3" t="s">
        <v>69</v>
      </c>
      <c r="D49" s="3"/>
      <c r="E49" s="4">
        <v>0</v>
      </c>
      <c r="F49" s="4">
        <v>-2.5</v>
      </c>
      <c r="G49" s="4">
        <v>290</v>
      </c>
      <c r="H49" s="4">
        <v>290</v>
      </c>
      <c r="I49" s="4">
        <v>1044.95</v>
      </c>
      <c r="J49" s="4">
        <v>290</v>
      </c>
      <c r="K49" s="4">
        <v>1284.24</v>
      </c>
      <c r="L49" s="4">
        <v>0</v>
      </c>
      <c r="M49" s="4">
        <v>989</v>
      </c>
      <c r="N49" s="4">
        <v>290</v>
      </c>
      <c r="O49" s="4">
        <v>860</v>
      </c>
      <c r="P49" s="4">
        <v>290</v>
      </c>
      <c r="Q49" s="4">
        <v>699</v>
      </c>
      <c r="R49" s="4">
        <v>6324.69</v>
      </c>
      <c r="S49" s="2">
        <v>201212</v>
      </c>
      <c r="T49" s="16" t="s">
        <v>240</v>
      </c>
    </row>
    <row r="50" spans="1:20" x14ac:dyDescent="0.25">
      <c r="A50" s="9" t="s">
        <v>144</v>
      </c>
      <c r="B50" s="2" t="s">
        <v>39</v>
      </c>
      <c r="C50" s="3" t="s">
        <v>69</v>
      </c>
      <c r="D50" s="3"/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2">
        <v>201212</v>
      </c>
      <c r="T50" s="16" t="s">
        <v>240</v>
      </c>
    </row>
    <row r="51" spans="1:20" x14ac:dyDescent="0.25">
      <c r="A51" s="9" t="s">
        <v>145</v>
      </c>
      <c r="B51" s="2" t="s">
        <v>40</v>
      </c>
      <c r="C51" s="3" t="s">
        <v>69</v>
      </c>
      <c r="D51" s="3"/>
      <c r="E51" s="4">
        <v>0</v>
      </c>
      <c r="F51" s="4">
        <v>0</v>
      </c>
      <c r="G51" s="4">
        <v>311.68</v>
      </c>
      <c r="H51" s="4">
        <v>0</v>
      </c>
      <c r="I51" s="4">
        <v>125.43</v>
      </c>
      <c r="J51" s="4">
        <v>20.68</v>
      </c>
      <c r="K51" s="4">
        <v>25.1</v>
      </c>
      <c r="L51" s="4">
        <v>119.81</v>
      </c>
      <c r="M51" s="4">
        <v>32.659999999999997</v>
      </c>
      <c r="N51" s="4">
        <v>19.73</v>
      </c>
      <c r="O51" s="4">
        <v>50.95</v>
      </c>
      <c r="P51" s="4">
        <v>145.53</v>
      </c>
      <c r="Q51" s="4">
        <v>203.88</v>
      </c>
      <c r="R51" s="4">
        <v>1055.45</v>
      </c>
      <c r="S51" s="2">
        <v>201212</v>
      </c>
      <c r="T51" s="16" t="s">
        <v>240</v>
      </c>
    </row>
    <row r="52" spans="1:20" x14ac:dyDescent="0.25">
      <c r="A52" s="9" t="s">
        <v>146</v>
      </c>
      <c r="B52" s="2" t="s">
        <v>41</v>
      </c>
      <c r="C52" s="3" t="s">
        <v>69</v>
      </c>
      <c r="D52" s="3"/>
      <c r="E52" s="4">
        <v>0</v>
      </c>
      <c r="F52" s="4">
        <v>25.7</v>
      </c>
      <c r="G52" s="4">
        <v>23.35</v>
      </c>
      <c r="H52" s="4">
        <v>30.25</v>
      </c>
      <c r="I52" s="4">
        <v>30.3</v>
      </c>
      <c r="J52" s="4">
        <v>24.1</v>
      </c>
      <c r="K52" s="4">
        <v>28.15</v>
      </c>
      <c r="L52" s="4">
        <v>24.7</v>
      </c>
      <c r="M52" s="4">
        <v>25.9</v>
      </c>
      <c r="N52" s="4">
        <v>27.55</v>
      </c>
      <c r="O52" s="4">
        <v>18.649999999999999</v>
      </c>
      <c r="P52" s="4">
        <v>21.6</v>
      </c>
      <c r="Q52" s="4">
        <v>20.34</v>
      </c>
      <c r="R52" s="4">
        <v>300.58999999999997</v>
      </c>
      <c r="S52" s="2">
        <v>201212</v>
      </c>
      <c r="T52" s="16" t="s">
        <v>240</v>
      </c>
    </row>
    <row r="53" spans="1:20" x14ac:dyDescent="0.25">
      <c r="A53" s="9" t="s">
        <v>147</v>
      </c>
      <c r="B53" s="2" t="s">
        <v>221</v>
      </c>
      <c r="C53" s="3" t="s">
        <v>69</v>
      </c>
      <c r="D53" s="3"/>
      <c r="E53" s="4">
        <v>0</v>
      </c>
      <c r="F53" s="4">
        <v>2990.72</v>
      </c>
      <c r="G53" s="4">
        <v>3224.06</v>
      </c>
      <c r="H53" s="4">
        <v>3729.17</v>
      </c>
      <c r="I53" s="4">
        <v>3346.62</v>
      </c>
      <c r="J53" s="4">
        <v>3478.8</v>
      </c>
      <c r="K53" s="4">
        <v>3406.09</v>
      </c>
      <c r="L53" s="4">
        <v>3509.3</v>
      </c>
      <c r="M53" s="4">
        <v>3801.95</v>
      </c>
      <c r="N53" s="4">
        <v>3506.35</v>
      </c>
      <c r="O53" s="4">
        <v>3513.02</v>
      </c>
      <c r="P53" s="4">
        <v>3744.18</v>
      </c>
      <c r="Q53" s="4">
        <v>3325.55</v>
      </c>
      <c r="R53" s="4">
        <v>41575.81</v>
      </c>
      <c r="S53" s="2">
        <v>201212</v>
      </c>
      <c r="T53" s="16" t="s">
        <v>240</v>
      </c>
    </row>
    <row r="54" spans="1:20" x14ac:dyDescent="0.25">
      <c r="A54" s="9" t="s">
        <v>148</v>
      </c>
      <c r="B54" s="2" t="s">
        <v>222</v>
      </c>
      <c r="C54" s="3" t="s">
        <v>69</v>
      </c>
      <c r="D54" s="3"/>
      <c r="E54" s="4">
        <v>0</v>
      </c>
      <c r="F54" s="4">
        <v>1182</v>
      </c>
      <c r="G54" s="4">
        <v>1182</v>
      </c>
      <c r="H54" s="4">
        <v>1182</v>
      </c>
      <c r="I54" s="4">
        <v>1182</v>
      </c>
      <c r="J54" s="4">
        <v>1727</v>
      </c>
      <c r="K54" s="4">
        <v>1182</v>
      </c>
      <c r="L54" s="4">
        <v>1182</v>
      </c>
      <c r="M54" s="4">
        <v>1182</v>
      </c>
      <c r="N54" s="4">
        <v>1182</v>
      </c>
      <c r="O54" s="4">
        <v>1211.5</v>
      </c>
      <c r="P54" s="4">
        <v>1813.8</v>
      </c>
      <c r="Q54" s="4">
        <v>1241</v>
      </c>
      <c r="R54" s="4">
        <v>15449.3</v>
      </c>
      <c r="S54" s="2">
        <v>201212</v>
      </c>
      <c r="T54" s="16" t="s">
        <v>240</v>
      </c>
    </row>
    <row r="55" spans="1:20" x14ac:dyDescent="0.25">
      <c r="A55" s="9" t="s">
        <v>149</v>
      </c>
      <c r="B55" s="2" t="s">
        <v>223</v>
      </c>
      <c r="C55" s="3" t="s">
        <v>69</v>
      </c>
      <c r="D55" s="3"/>
      <c r="E55" s="4">
        <v>0</v>
      </c>
      <c r="F55" s="4">
        <v>570</v>
      </c>
      <c r="G55" s="4">
        <v>1191.45</v>
      </c>
      <c r="H55" s="4">
        <v>0</v>
      </c>
      <c r="I55" s="4">
        <v>3364.4</v>
      </c>
      <c r="J55" s="4">
        <v>136.5</v>
      </c>
      <c r="K55" s="4">
        <v>-420</v>
      </c>
      <c r="L55" s="4">
        <v>235</v>
      </c>
      <c r="M55" s="4">
        <v>285</v>
      </c>
      <c r="N55" s="4">
        <v>285</v>
      </c>
      <c r="O55" s="4">
        <v>-755</v>
      </c>
      <c r="P55" s="4">
        <v>0</v>
      </c>
      <c r="Q55" s="4">
        <v>0</v>
      </c>
      <c r="R55" s="4">
        <v>4892.3500000000004</v>
      </c>
      <c r="S55" s="2">
        <v>201212</v>
      </c>
      <c r="T55" s="16" t="s">
        <v>240</v>
      </c>
    </row>
    <row r="56" spans="1:20" x14ac:dyDescent="0.25">
      <c r="A56" s="9" t="s">
        <v>150</v>
      </c>
      <c r="B56" s="2" t="s">
        <v>43</v>
      </c>
      <c r="C56" s="3" t="s">
        <v>69</v>
      </c>
      <c r="D56" s="3"/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2">
        <v>201212</v>
      </c>
      <c r="T56" s="16" t="s">
        <v>240</v>
      </c>
    </row>
    <row r="57" spans="1:20" x14ac:dyDescent="0.25">
      <c r="A57" s="9" t="s">
        <v>151</v>
      </c>
      <c r="B57" s="2" t="s">
        <v>44</v>
      </c>
      <c r="C57" s="3" t="s">
        <v>69</v>
      </c>
      <c r="D57" s="3"/>
      <c r="E57" s="4">
        <v>0</v>
      </c>
      <c r="F57" s="4">
        <v>324.47000000000003</v>
      </c>
      <c r="G57" s="4">
        <v>493.98</v>
      </c>
      <c r="H57" s="4">
        <v>580</v>
      </c>
      <c r="I57" s="4">
        <v>535.67999999999995</v>
      </c>
      <c r="J57" s="4">
        <v>574.58000000000004</v>
      </c>
      <c r="K57" s="4">
        <v>482.19</v>
      </c>
      <c r="L57" s="4">
        <v>544.92999999999995</v>
      </c>
      <c r="M57" s="4">
        <v>768.96</v>
      </c>
      <c r="N57" s="4">
        <v>438.24</v>
      </c>
      <c r="O57" s="4">
        <v>506.67</v>
      </c>
      <c r="P57" s="4">
        <v>671.9</v>
      </c>
      <c r="Q57" s="4">
        <v>746.17</v>
      </c>
      <c r="R57" s="4">
        <v>6667.77</v>
      </c>
      <c r="S57" s="2">
        <v>201212</v>
      </c>
      <c r="T57" s="16" t="s">
        <v>240</v>
      </c>
    </row>
    <row r="58" spans="1:20" x14ac:dyDescent="0.25">
      <c r="A58" s="9" t="s">
        <v>152</v>
      </c>
      <c r="B58" s="2" t="s">
        <v>224</v>
      </c>
      <c r="C58" s="3" t="s">
        <v>69</v>
      </c>
      <c r="D58" s="3"/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142.9</v>
      </c>
      <c r="N58" s="4">
        <v>64.95</v>
      </c>
      <c r="O58" s="4">
        <v>64.95</v>
      </c>
      <c r="P58" s="4">
        <v>511.89</v>
      </c>
      <c r="Q58" s="4">
        <v>64.95</v>
      </c>
      <c r="R58" s="4">
        <v>849.64</v>
      </c>
      <c r="S58" s="2">
        <v>201212</v>
      </c>
      <c r="T58" s="16" t="s">
        <v>240</v>
      </c>
    </row>
    <row r="59" spans="1:20" x14ac:dyDescent="0.25">
      <c r="A59" s="9" t="s">
        <v>153</v>
      </c>
      <c r="B59" s="2" t="s">
        <v>45</v>
      </c>
      <c r="C59" s="3" t="s">
        <v>69</v>
      </c>
      <c r="D59" s="3"/>
      <c r="E59" s="4">
        <v>0</v>
      </c>
      <c r="F59" s="4">
        <v>198.52</v>
      </c>
      <c r="G59" s="4">
        <v>408.21</v>
      </c>
      <c r="H59" s="4">
        <v>299.51</v>
      </c>
      <c r="I59" s="4">
        <v>143.41</v>
      </c>
      <c r="J59" s="4">
        <v>449.99</v>
      </c>
      <c r="K59" s="4">
        <v>673.95</v>
      </c>
      <c r="L59" s="4">
        <v>293.14999999999998</v>
      </c>
      <c r="M59" s="4">
        <v>381.39</v>
      </c>
      <c r="N59" s="4">
        <v>10.9</v>
      </c>
      <c r="O59" s="4">
        <v>217.56</v>
      </c>
      <c r="P59" s="4">
        <v>432.06</v>
      </c>
      <c r="Q59" s="4">
        <v>273.14999999999998</v>
      </c>
      <c r="R59" s="4">
        <v>3781.8</v>
      </c>
      <c r="S59" s="2">
        <v>201212</v>
      </c>
      <c r="T59" s="16" t="s">
        <v>240</v>
      </c>
    </row>
    <row r="60" spans="1:20" x14ac:dyDescent="0.25">
      <c r="A60" s="9" t="s">
        <v>154</v>
      </c>
      <c r="B60" s="2" t="s">
        <v>225</v>
      </c>
      <c r="C60" s="3" t="s">
        <v>69</v>
      </c>
      <c r="D60" s="3"/>
      <c r="E60" s="4">
        <v>0</v>
      </c>
      <c r="F60" s="4">
        <v>36.630000000000003</v>
      </c>
      <c r="G60" s="4">
        <v>800.08</v>
      </c>
      <c r="H60" s="4">
        <v>758.09</v>
      </c>
      <c r="I60" s="4">
        <v>656.59</v>
      </c>
      <c r="J60" s="4">
        <v>313.77</v>
      </c>
      <c r="K60" s="4">
        <v>251.09</v>
      </c>
      <c r="L60" s="4">
        <v>277.51</v>
      </c>
      <c r="M60" s="4">
        <v>414.72</v>
      </c>
      <c r="N60" s="4">
        <v>211.7</v>
      </c>
      <c r="O60" s="4">
        <v>888.75</v>
      </c>
      <c r="P60" s="4">
        <v>370.79</v>
      </c>
      <c r="Q60" s="4">
        <v>369.9</v>
      </c>
      <c r="R60" s="4">
        <v>5349.62</v>
      </c>
      <c r="S60" s="2">
        <v>201212</v>
      </c>
      <c r="T60" s="16" t="s">
        <v>240</v>
      </c>
    </row>
    <row r="61" spans="1:20" x14ac:dyDescent="0.25">
      <c r="A61" s="9" t="s">
        <v>155</v>
      </c>
      <c r="B61" s="2" t="s">
        <v>226</v>
      </c>
      <c r="C61" s="3" t="s">
        <v>69</v>
      </c>
      <c r="D61" s="3"/>
      <c r="E61" s="4">
        <v>0</v>
      </c>
      <c r="F61" s="4">
        <v>0</v>
      </c>
      <c r="G61" s="4">
        <v>0</v>
      </c>
      <c r="H61" s="4">
        <v>0</v>
      </c>
      <c r="I61" s="4">
        <v>96</v>
      </c>
      <c r="J61" s="4">
        <v>539.78</v>
      </c>
      <c r="K61" s="4">
        <v>0</v>
      </c>
      <c r="L61" s="4">
        <v>0</v>
      </c>
      <c r="M61" s="4">
        <v>50</v>
      </c>
      <c r="N61" s="4">
        <v>0</v>
      </c>
      <c r="O61" s="4">
        <v>0</v>
      </c>
      <c r="P61" s="4">
        <v>0</v>
      </c>
      <c r="Q61" s="4">
        <v>0</v>
      </c>
      <c r="R61" s="4">
        <v>685.78</v>
      </c>
      <c r="S61" s="2">
        <v>201212</v>
      </c>
      <c r="T61" s="16" t="s">
        <v>240</v>
      </c>
    </row>
    <row r="62" spans="1:20" x14ac:dyDescent="0.25">
      <c r="A62" s="9" t="s">
        <v>156</v>
      </c>
      <c r="B62" s="2" t="s">
        <v>46</v>
      </c>
      <c r="C62" s="3" t="s">
        <v>69</v>
      </c>
      <c r="D62" s="3"/>
      <c r="E62" s="4">
        <v>0</v>
      </c>
      <c r="F62" s="4">
        <v>0</v>
      </c>
      <c r="G62" s="4">
        <v>62.59</v>
      </c>
      <c r="H62" s="4">
        <v>135.47999999999999</v>
      </c>
      <c r="I62" s="4">
        <v>249.84</v>
      </c>
      <c r="J62" s="4">
        <v>138.29</v>
      </c>
      <c r="K62" s="4">
        <v>160.79</v>
      </c>
      <c r="L62" s="4">
        <v>203.08</v>
      </c>
      <c r="M62" s="4">
        <v>166.25</v>
      </c>
      <c r="N62" s="4">
        <v>67.069999999999993</v>
      </c>
      <c r="O62" s="4">
        <v>100.45</v>
      </c>
      <c r="P62" s="4">
        <v>100.96</v>
      </c>
      <c r="Q62" s="4">
        <v>168.33</v>
      </c>
      <c r="R62" s="4">
        <v>1553.13</v>
      </c>
      <c r="S62" s="2">
        <v>201212</v>
      </c>
      <c r="T62" s="16" t="s">
        <v>240</v>
      </c>
    </row>
    <row r="63" spans="1:20" x14ac:dyDescent="0.25">
      <c r="A63" s="9" t="s">
        <v>157</v>
      </c>
      <c r="B63" s="2" t="s">
        <v>227</v>
      </c>
      <c r="C63" s="3" t="s">
        <v>69</v>
      </c>
      <c r="D63" s="3"/>
      <c r="E63" s="4">
        <v>0</v>
      </c>
      <c r="F63" s="4">
        <v>1057.3900000000001</v>
      </c>
      <c r="G63" s="4">
        <v>848.29</v>
      </c>
      <c r="H63" s="4">
        <v>871.64</v>
      </c>
      <c r="I63" s="4">
        <v>781.3</v>
      </c>
      <c r="J63" s="4">
        <v>737.5</v>
      </c>
      <c r="K63" s="4">
        <v>862.02</v>
      </c>
      <c r="L63" s="4">
        <v>914.57</v>
      </c>
      <c r="M63" s="4">
        <v>966.18</v>
      </c>
      <c r="N63" s="4">
        <v>1062.48</v>
      </c>
      <c r="O63" s="4">
        <v>1100.28</v>
      </c>
      <c r="P63" s="4">
        <v>843.97</v>
      </c>
      <c r="Q63" s="4">
        <v>984.57</v>
      </c>
      <c r="R63" s="4">
        <v>11030.19</v>
      </c>
      <c r="S63" s="2">
        <v>201212</v>
      </c>
      <c r="T63" s="16" t="s">
        <v>240</v>
      </c>
    </row>
    <row r="64" spans="1:20" x14ac:dyDescent="0.25">
      <c r="A64" s="9" t="s">
        <v>158</v>
      </c>
      <c r="B64" s="2" t="s">
        <v>47</v>
      </c>
      <c r="C64" s="3" t="s">
        <v>69</v>
      </c>
      <c r="D64" s="3"/>
      <c r="E64" s="4">
        <v>0</v>
      </c>
      <c r="F64" s="4">
        <v>1546.93</v>
      </c>
      <c r="G64" s="4">
        <v>1925.15</v>
      </c>
      <c r="H64" s="4">
        <v>1595.7</v>
      </c>
      <c r="I64" s="4">
        <v>1697.53</v>
      </c>
      <c r="J64" s="4">
        <v>2458.2600000000002</v>
      </c>
      <c r="K64" s="4">
        <v>3913.83</v>
      </c>
      <c r="L64" s="4">
        <v>3386.71</v>
      </c>
      <c r="M64" s="4">
        <v>4141.45</v>
      </c>
      <c r="N64" s="4">
        <v>2877.56</v>
      </c>
      <c r="O64" s="4">
        <v>2631.97</v>
      </c>
      <c r="P64" s="4">
        <v>1739.46</v>
      </c>
      <c r="Q64" s="4">
        <v>1853.27</v>
      </c>
      <c r="R64" s="4">
        <v>29767.82</v>
      </c>
      <c r="S64" s="2">
        <v>201212</v>
      </c>
      <c r="T64" s="16" t="s">
        <v>240</v>
      </c>
    </row>
    <row r="65" spans="1:20" x14ac:dyDescent="0.25">
      <c r="A65" s="9" t="s">
        <v>159</v>
      </c>
      <c r="B65" s="2" t="s">
        <v>48</v>
      </c>
      <c r="C65" s="3" t="s">
        <v>69</v>
      </c>
      <c r="D65" s="3"/>
      <c r="E65" s="4">
        <v>0</v>
      </c>
      <c r="F65" s="4">
        <v>0</v>
      </c>
      <c r="G65" s="4">
        <v>3461.25</v>
      </c>
      <c r="H65" s="4">
        <v>2393</v>
      </c>
      <c r="I65" s="4">
        <v>2215.04</v>
      </c>
      <c r="J65" s="4">
        <v>1561.86</v>
      </c>
      <c r="K65" s="4">
        <v>1277.5999999999999</v>
      </c>
      <c r="L65" s="4">
        <v>1154.42</v>
      </c>
      <c r="M65" s="4">
        <v>1082.57</v>
      </c>
      <c r="N65" s="4">
        <v>1158.57</v>
      </c>
      <c r="O65" s="4">
        <v>1113.25</v>
      </c>
      <c r="P65" s="4">
        <v>1791.62</v>
      </c>
      <c r="Q65" s="4">
        <v>5819.44</v>
      </c>
      <c r="R65" s="4">
        <v>23028.62</v>
      </c>
      <c r="S65" s="2">
        <v>201212</v>
      </c>
      <c r="T65" s="16" t="s">
        <v>240</v>
      </c>
    </row>
    <row r="66" spans="1:20" x14ac:dyDescent="0.25">
      <c r="A66" s="9" t="s">
        <v>160</v>
      </c>
      <c r="B66" s="2" t="s">
        <v>49</v>
      </c>
      <c r="C66" s="3" t="s">
        <v>69</v>
      </c>
      <c r="D66" s="3"/>
      <c r="E66" s="4">
        <v>0</v>
      </c>
      <c r="F66" s="4">
        <v>6360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6360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12720</v>
      </c>
      <c r="S66" s="2">
        <v>201212</v>
      </c>
      <c r="T66" s="16" t="s">
        <v>240</v>
      </c>
    </row>
    <row r="67" spans="1:20" x14ac:dyDescent="0.25">
      <c r="A67" s="9" t="s">
        <v>161</v>
      </c>
      <c r="B67" s="2" t="s">
        <v>50</v>
      </c>
      <c r="C67" s="3" t="s">
        <v>69</v>
      </c>
      <c r="D67" s="3"/>
      <c r="E67" s="4">
        <v>0</v>
      </c>
      <c r="F67" s="4">
        <v>192.95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192.95</v>
      </c>
      <c r="S67" s="2">
        <v>201212</v>
      </c>
      <c r="T67" s="16" t="s">
        <v>240</v>
      </c>
    </row>
    <row r="68" spans="1:20" x14ac:dyDescent="0.25">
      <c r="A68" s="9" t="s">
        <v>162</v>
      </c>
      <c r="B68" s="2" t="s">
        <v>51</v>
      </c>
      <c r="C68" s="3" t="s">
        <v>69</v>
      </c>
      <c r="D68" s="3"/>
      <c r="E68" s="4">
        <v>0</v>
      </c>
      <c r="F68" s="4">
        <v>1100</v>
      </c>
      <c r="G68" s="4">
        <v>2082</v>
      </c>
      <c r="H68" s="4">
        <v>1960</v>
      </c>
      <c r="I68" s="4">
        <v>3924</v>
      </c>
      <c r="J68" s="4">
        <v>1885</v>
      </c>
      <c r="K68" s="4">
        <v>250</v>
      </c>
      <c r="L68" s="4">
        <v>1900</v>
      </c>
      <c r="M68" s="4">
        <v>2470</v>
      </c>
      <c r="N68" s="4">
        <v>2083.75</v>
      </c>
      <c r="O68" s="4">
        <v>1966</v>
      </c>
      <c r="P68" s="4">
        <v>2675.5</v>
      </c>
      <c r="Q68" s="4">
        <v>2050</v>
      </c>
      <c r="R68" s="4">
        <v>24346.25</v>
      </c>
      <c r="S68" s="2">
        <v>201212</v>
      </c>
      <c r="T68" s="16" t="s">
        <v>240</v>
      </c>
    </row>
    <row r="69" spans="1:20" x14ac:dyDescent="0.25">
      <c r="A69" s="9" t="s">
        <v>163</v>
      </c>
      <c r="B69" s="2" t="s">
        <v>52</v>
      </c>
      <c r="C69" s="3" t="s">
        <v>69</v>
      </c>
      <c r="D69" s="3"/>
      <c r="E69" s="4">
        <v>0</v>
      </c>
      <c r="F69" s="4">
        <v>0</v>
      </c>
      <c r="G69" s="4">
        <v>180</v>
      </c>
      <c r="H69" s="4">
        <v>180</v>
      </c>
      <c r="I69" s="4">
        <v>280</v>
      </c>
      <c r="J69" s="4">
        <v>180</v>
      </c>
      <c r="K69" s="4">
        <v>0</v>
      </c>
      <c r="L69" s="4">
        <v>180</v>
      </c>
      <c r="M69" s="4">
        <v>0</v>
      </c>
      <c r="N69" s="4">
        <v>180</v>
      </c>
      <c r="O69" s="4">
        <v>180</v>
      </c>
      <c r="P69" s="4">
        <v>180</v>
      </c>
      <c r="Q69" s="4">
        <v>260</v>
      </c>
      <c r="R69" s="4">
        <v>1800</v>
      </c>
      <c r="S69" s="2">
        <v>201212</v>
      </c>
      <c r="T69" s="16" t="s">
        <v>240</v>
      </c>
    </row>
    <row r="70" spans="1:20" x14ac:dyDescent="0.25">
      <c r="A70" s="9" t="s">
        <v>164</v>
      </c>
      <c r="B70" s="2" t="s">
        <v>53</v>
      </c>
      <c r="C70" s="3" t="s">
        <v>69</v>
      </c>
      <c r="D70" s="3"/>
      <c r="E70" s="4">
        <v>0</v>
      </c>
      <c r="F70" s="4">
        <v>0</v>
      </c>
      <c r="G70" s="4">
        <v>777.22</v>
      </c>
      <c r="H70" s="4">
        <v>806.02</v>
      </c>
      <c r="I70" s="4">
        <v>743.02</v>
      </c>
      <c r="J70" s="4">
        <v>851.77</v>
      </c>
      <c r="K70" s="4">
        <v>808.27</v>
      </c>
      <c r="L70" s="4">
        <v>786.52</v>
      </c>
      <c r="M70" s="4">
        <v>742</v>
      </c>
      <c r="N70" s="4">
        <v>969.5</v>
      </c>
      <c r="O70" s="4">
        <v>1012</v>
      </c>
      <c r="P70" s="4">
        <v>924.5</v>
      </c>
      <c r="Q70" s="4">
        <v>849.5</v>
      </c>
      <c r="R70" s="4">
        <v>9270.32</v>
      </c>
      <c r="S70" s="2">
        <v>201212</v>
      </c>
      <c r="T70" s="16" t="s">
        <v>240</v>
      </c>
    </row>
    <row r="71" spans="1:20" x14ac:dyDescent="0.25">
      <c r="A71" s="9" t="s">
        <v>165</v>
      </c>
      <c r="B71" s="2" t="s">
        <v>228</v>
      </c>
      <c r="C71" s="3" t="s">
        <v>69</v>
      </c>
      <c r="D71" s="3"/>
      <c r="E71" s="4">
        <v>0</v>
      </c>
      <c r="F71" s="4">
        <v>479.58</v>
      </c>
      <c r="G71" s="4">
        <v>464.79</v>
      </c>
      <c r="H71" s="4">
        <v>450</v>
      </c>
      <c r="I71" s="4">
        <v>0</v>
      </c>
      <c r="J71" s="4">
        <v>464.79</v>
      </c>
      <c r="K71" s="4">
        <v>900</v>
      </c>
      <c r="L71" s="4">
        <v>465</v>
      </c>
      <c r="M71" s="4">
        <v>0</v>
      </c>
      <c r="N71" s="4">
        <v>915</v>
      </c>
      <c r="O71" s="4">
        <v>0</v>
      </c>
      <c r="P71" s="4">
        <v>480</v>
      </c>
      <c r="Q71" s="4">
        <v>930</v>
      </c>
      <c r="R71" s="4">
        <v>5549.16</v>
      </c>
      <c r="S71" s="2">
        <v>201212</v>
      </c>
      <c r="T71" s="16" t="s">
        <v>240</v>
      </c>
    </row>
    <row r="72" spans="1:20" x14ac:dyDescent="0.25">
      <c r="A72" s="9" t="s">
        <v>166</v>
      </c>
      <c r="B72" s="2" t="s">
        <v>54</v>
      </c>
      <c r="C72" s="3" t="s">
        <v>69</v>
      </c>
      <c r="D72" s="3"/>
      <c r="E72" s="4">
        <v>0</v>
      </c>
      <c r="F72" s="4">
        <v>0</v>
      </c>
      <c r="G72" s="4">
        <v>0</v>
      </c>
      <c r="H72" s="4">
        <v>785</v>
      </c>
      <c r="I72" s="4">
        <v>1165.53</v>
      </c>
      <c r="J72" s="4">
        <v>852.01</v>
      </c>
      <c r="K72" s="4">
        <v>949.39</v>
      </c>
      <c r="L72" s="4">
        <v>1729.83</v>
      </c>
      <c r="M72" s="4">
        <v>1558.98</v>
      </c>
      <c r="N72" s="4">
        <v>768.32</v>
      </c>
      <c r="O72" s="4">
        <v>160.58000000000001</v>
      </c>
      <c r="P72" s="4">
        <v>2525</v>
      </c>
      <c r="Q72" s="4">
        <v>0</v>
      </c>
      <c r="R72" s="4">
        <v>10494.64</v>
      </c>
      <c r="S72" s="2">
        <v>201212</v>
      </c>
      <c r="T72" s="16" t="s">
        <v>240</v>
      </c>
    </row>
    <row r="73" spans="1:20" x14ac:dyDescent="0.25">
      <c r="A73" s="9" t="s">
        <v>167</v>
      </c>
      <c r="B73" s="2" t="s">
        <v>229</v>
      </c>
      <c r="C73" s="3" t="s">
        <v>69</v>
      </c>
      <c r="D73" s="3"/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138.75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138.75</v>
      </c>
      <c r="S73" s="2">
        <v>201212</v>
      </c>
      <c r="T73" s="16" t="s">
        <v>240</v>
      </c>
    </row>
    <row r="74" spans="1:20" x14ac:dyDescent="0.25">
      <c r="A74" s="9" t="s">
        <v>168</v>
      </c>
      <c r="B74" s="2" t="s">
        <v>230</v>
      </c>
      <c r="C74" s="3" t="s">
        <v>69</v>
      </c>
      <c r="D74" s="3"/>
      <c r="E74" s="4">
        <v>0</v>
      </c>
      <c r="F74" s="4">
        <v>3131.3</v>
      </c>
      <c r="G74" s="4">
        <v>4230.22</v>
      </c>
      <c r="H74" s="4">
        <v>3223.62</v>
      </c>
      <c r="I74" s="4">
        <v>4238.91</v>
      </c>
      <c r="J74" s="4">
        <v>3316.85</v>
      </c>
      <c r="K74" s="4">
        <v>2935.09</v>
      </c>
      <c r="L74" s="4">
        <v>5246.54</v>
      </c>
      <c r="M74" s="4">
        <v>4579.0600000000004</v>
      </c>
      <c r="N74" s="4">
        <v>2649.94</v>
      </c>
      <c r="O74" s="4">
        <v>1121.03</v>
      </c>
      <c r="P74" s="4">
        <v>2450.64</v>
      </c>
      <c r="Q74" s="4">
        <v>2696.07</v>
      </c>
      <c r="R74" s="4">
        <v>39819.269999999997</v>
      </c>
      <c r="S74" s="2">
        <v>201212</v>
      </c>
      <c r="T74" s="16" t="s">
        <v>240</v>
      </c>
    </row>
    <row r="75" spans="1:20" x14ac:dyDescent="0.25">
      <c r="A75" s="9" t="s">
        <v>169</v>
      </c>
      <c r="B75" s="2" t="s">
        <v>55</v>
      </c>
      <c r="C75" s="3" t="s">
        <v>69</v>
      </c>
      <c r="D75" s="3"/>
      <c r="E75" s="4">
        <v>0</v>
      </c>
      <c r="F75" s="4">
        <v>1328</v>
      </c>
      <c r="G75" s="4">
        <v>3002.5</v>
      </c>
      <c r="H75" s="4">
        <v>3500.5</v>
      </c>
      <c r="I75" s="4">
        <v>2678.5</v>
      </c>
      <c r="J75" s="4">
        <v>3547.75</v>
      </c>
      <c r="K75" s="4">
        <v>3431.75</v>
      </c>
      <c r="L75" s="4">
        <v>5390</v>
      </c>
      <c r="M75" s="4">
        <v>2424.25</v>
      </c>
      <c r="N75" s="4">
        <v>4438.8999999999996</v>
      </c>
      <c r="O75" s="4">
        <v>521.25</v>
      </c>
      <c r="P75" s="4">
        <v>3043.15</v>
      </c>
      <c r="Q75" s="4">
        <v>2425</v>
      </c>
      <c r="R75" s="4">
        <v>35731.550000000003</v>
      </c>
      <c r="S75" s="2">
        <v>201212</v>
      </c>
      <c r="T75" s="16" t="s">
        <v>240</v>
      </c>
    </row>
    <row r="76" spans="1:20" x14ac:dyDescent="0.25">
      <c r="A76" s="9" t="s">
        <v>170</v>
      </c>
      <c r="B76" s="2" t="s">
        <v>228</v>
      </c>
      <c r="C76" s="3" t="s">
        <v>69</v>
      </c>
      <c r="D76" s="3"/>
      <c r="E76" s="4">
        <v>0</v>
      </c>
      <c r="F76" s="4">
        <v>0</v>
      </c>
      <c r="G76" s="4">
        <v>0</v>
      </c>
      <c r="H76" s="4">
        <v>0</v>
      </c>
      <c r="I76" s="4">
        <v>450</v>
      </c>
      <c r="J76" s="4">
        <v>0</v>
      </c>
      <c r="K76" s="4">
        <v>-450</v>
      </c>
      <c r="L76" s="4">
        <v>0</v>
      </c>
      <c r="M76" s="4">
        <v>450</v>
      </c>
      <c r="N76" s="4">
        <v>-450</v>
      </c>
      <c r="O76" s="4">
        <v>465</v>
      </c>
      <c r="P76" s="4">
        <v>0</v>
      </c>
      <c r="Q76" s="4">
        <v>-465</v>
      </c>
      <c r="R76" s="4">
        <v>0</v>
      </c>
      <c r="S76" s="2">
        <v>201212</v>
      </c>
      <c r="T76" s="16" t="s">
        <v>240</v>
      </c>
    </row>
    <row r="77" spans="1:20" x14ac:dyDescent="0.25">
      <c r="A77" s="9" t="s">
        <v>171</v>
      </c>
      <c r="B77" s="2" t="s">
        <v>56</v>
      </c>
      <c r="C77" s="3" t="s">
        <v>69</v>
      </c>
      <c r="D77" s="3"/>
      <c r="E77" s="4">
        <v>0</v>
      </c>
      <c r="F77" s="4">
        <v>2678</v>
      </c>
      <c r="G77" s="4">
        <v>2678</v>
      </c>
      <c r="H77" s="4">
        <v>2879</v>
      </c>
      <c r="I77" s="4">
        <v>2812</v>
      </c>
      <c r="J77" s="4">
        <v>4128.8599999999997</v>
      </c>
      <c r="K77" s="4">
        <v>2812</v>
      </c>
      <c r="L77" s="4">
        <v>5820</v>
      </c>
      <c r="M77" s="4">
        <v>5978</v>
      </c>
      <c r="N77" s="4">
        <v>4861</v>
      </c>
      <c r="O77" s="4">
        <v>4135.28</v>
      </c>
      <c r="P77" s="4">
        <v>6536.4</v>
      </c>
      <c r="Q77" s="4">
        <v>5238</v>
      </c>
      <c r="R77" s="4">
        <v>50556.54</v>
      </c>
      <c r="S77" s="2">
        <v>201212</v>
      </c>
      <c r="T77" s="16" t="s">
        <v>240</v>
      </c>
    </row>
    <row r="78" spans="1:20" x14ac:dyDescent="0.25">
      <c r="A78" s="9" t="s">
        <v>172</v>
      </c>
      <c r="B78" s="2" t="s">
        <v>57</v>
      </c>
      <c r="C78" s="3" t="s">
        <v>69</v>
      </c>
      <c r="D78" s="3"/>
      <c r="E78" s="4">
        <v>0</v>
      </c>
      <c r="F78" s="4">
        <v>370</v>
      </c>
      <c r="G78" s="4">
        <v>1829.34</v>
      </c>
      <c r="H78" s="4">
        <v>400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65.5</v>
      </c>
      <c r="Q78" s="4">
        <v>3789.07</v>
      </c>
      <c r="R78" s="4">
        <v>6453.91</v>
      </c>
      <c r="S78" s="2">
        <v>201212</v>
      </c>
      <c r="T78" s="16" t="s">
        <v>240</v>
      </c>
    </row>
    <row r="79" spans="1:20" x14ac:dyDescent="0.25">
      <c r="A79" s="9" t="s">
        <v>173</v>
      </c>
      <c r="B79" s="2" t="s">
        <v>58</v>
      </c>
      <c r="C79" s="3" t="s">
        <v>69</v>
      </c>
      <c r="D79" s="3"/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2">
        <v>201212</v>
      </c>
      <c r="T79" s="16" t="s">
        <v>240</v>
      </c>
    </row>
    <row r="80" spans="1:20" x14ac:dyDescent="0.25">
      <c r="A80" s="9" t="s">
        <v>174</v>
      </c>
      <c r="B80" s="2" t="s">
        <v>42</v>
      </c>
      <c r="C80" s="3" t="s">
        <v>69</v>
      </c>
      <c r="D80" s="3"/>
      <c r="E80" s="4">
        <v>0</v>
      </c>
      <c r="F80" s="4">
        <v>315.58999999999997</v>
      </c>
      <c r="G80" s="4">
        <v>324.70999999999998</v>
      </c>
      <c r="H80" s="4">
        <v>322.75</v>
      </c>
      <c r="I80" s="4">
        <v>330.23</v>
      </c>
      <c r="J80" s="4">
        <v>493.87</v>
      </c>
      <c r="K80" s="4">
        <v>335.95</v>
      </c>
      <c r="L80" s="4">
        <v>328.77</v>
      </c>
      <c r="M80" s="4">
        <v>326.76</v>
      </c>
      <c r="N80" s="4">
        <v>312.93</v>
      </c>
      <c r="O80" s="4">
        <v>319.68</v>
      </c>
      <c r="P80" s="4">
        <v>419.93</v>
      </c>
      <c r="Q80" s="4">
        <v>337.97</v>
      </c>
      <c r="R80" s="4">
        <v>4169.1400000000003</v>
      </c>
      <c r="S80" s="2">
        <v>201212</v>
      </c>
      <c r="T80" s="16" t="s">
        <v>240</v>
      </c>
    </row>
    <row r="81" spans="1:20" x14ac:dyDescent="0.25">
      <c r="A81" s="9" t="s">
        <v>175</v>
      </c>
      <c r="B81" s="2" t="s">
        <v>231</v>
      </c>
      <c r="C81" s="3" t="s">
        <v>69</v>
      </c>
      <c r="D81" s="3"/>
      <c r="E81" s="4">
        <v>0</v>
      </c>
      <c r="F81" s="4">
        <v>18811.11</v>
      </c>
      <c r="G81" s="4">
        <v>-973.11</v>
      </c>
      <c r="H81" s="4">
        <v>0</v>
      </c>
      <c r="I81" s="4">
        <v>0</v>
      </c>
      <c r="J81" s="4">
        <v>-938.6</v>
      </c>
      <c r="K81" s="4">
        <v>865.2</v>
      </c>
      <c r="L81" s="4">
        <v>0</v>
      </c>
      <c r="M81" s="4">
        <v>-389.86</v>
      </c>
      <c r="N81" s="4">
        <v>0</v>
      </c>
      <c r="O81" s="4">
        <v>0</v>
      </c>
      <c r="P81" s="4">
        <v>0</v>
      </c>
      <c r="Q81" s="4">
        <v>-11154</v>
      </c>
      <c r="R81" s="4">
        <v>6220.74</v>
      </c>
      <c r="S81" s="2">
        <v>201212</v>
      </c>
      <c r="T81" s="16" t="s">
        <v>240</v>
      </c>
    </row>
    <row r="82" spans="1:20" x14ac:dyDescent="0.25">
      <c r="A82" s="9" t="s">
        <v>176</v>
      </c>
      <c r="B82" s="2" t="s">
        <v>59</v>
      </c>
      <c r="C82" s="3" t="s">
        <v>69</v>
      </c>
      <c r="D82" s="3"/>
      <c r="E82" s="4">
        <v>0</v>
      </c>
      <c r="F82" s="4">
        <v>1249.74</v>
      </c>
      <c r="G82" s="4">
        <v>1252.92</v>
      </c>
      <c r="H82" s="4">
        <v>1351.73</v>
      </c>
      <c r="I82" s="4">
        <v>1277.1400000000001</v>
      </c>
      <c r="J82" s="4">
        <v>1326.61</v>
      </c>
      <c r="K82" s="4">
        <v>1424.18</v>
      </c>
      <c r="L82" s="4">
        <v>1226.77</v>
      </c>
      <c r="M82" s="4">
        <v>1361.99</v>
      </c>
      <c r="N82" s="4">
        <v>1445.99</v>
      </c>
      <c r="O82" s="4">
        <v>1467.58</v>
      </c>
      <c r="P82" s="4">
        <v>850.01</v>
      </c>
      <c r="Q82" s="4">
        <v>1696.09</v>
      </c>
      <c r="R82" s="4">
        <v>15930.75</v>
      </c>
      <c r="S82" s="2">
        <v>201212</v>
      </c>
      <c r="T82" s="16" t="s">
        <v>240</v>
      </c>
    </row>
    <row r="83" spans="1:20" x14ac:dyDescent="0.25">
      <c r="A83" s="9" t="s">
        <v>177</v>
      </c>
      <c r="B83" s="2" t="s">
        <v>232</v>
      </c>
      <c r="C83" s="3" t="s">
        <v>69</v>
      </c>
      <c r="D83" s="3"/>
      <c r="E83" s="4">
        <v>0</v>
      </c>
      <c r="F83" s="4">
        <v>0</v>
      </c>
      <c r="G83" s="4">
        <v>0</v>
      </c>
      <c r="H83" s="4">
        <v>0</v>
      </c>
      <c r="I83" s="4">
        <v>531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402</v>
      </c>
      <c r="Q83" s="4">
        <v>78</v>
      </c>
      <c r="R83" s="4">
        <v>1011</v>
      </c>
      <c r="S83" s="2">
        <v>201212</v>
      </c>
      <c r="T83" s="16" t="s">
        <v>240</v>
      </c>
    </row>
    <row r="84" spans="1:20" x14ac:dyDescent="0.25">
      <c r="A84" s="9" t="s">
        <v>178</v>
      </c>
      <c r="B84" s="2" t="s">
        <v>60</v>
      </c>
      <c r="C84" s="3" t="s">
        <v>69</v>
      </c>
      <c r="D84" s="3"/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2">
        <v>201212</v>
      </c>
      <c r="T84" s="16" t="s">
        <v>240</v>
      </c>
    </row>
    <row r="85" spans="1:20" x14ac:dyDescent="0.25">
      <c r="A85" s="9" t="s">
        <v>179</v>
      </c>
      <c r="B85" s="2" t="s">
        <v>61</v>
      </c>
      <c r="C85" s="3" t="s">
        <v>69</v>
      </c>
      <c r="D85" s="3"/>
      <c r="E85" s="4">
        <v>0</v>
      </c>
      <c r="F85" s="4">
        <v>0</v>
      </c>
      <c r="G85" s="4">
        <v>11077.2</v>
      </c>
      <c r="H85" s="4">
        <v>0</v>
      </c>
      <c r="I85" s="4">
        <v>12868.02</v>
      </c>
      <c r="J85" s="4">
        <v>0</v>
      </c>
      <c r="K85" s="4">
        <v>0</v>
      </c>
      <c r="L85" s="4">
        <v>0</v>
      </c>
      <c r="M85" s="4">
        <v>3322</v>
      </c>
      <c r="N85" s="4">
        <v>0</v>
      </c>
      <c r="O85" s="4">
        <v>0</v>
      </c>
      <c r="P85" s="4">
        <v>0</v>
      </c>
      <c r="Q85" s="4">
        <v>13861.43</v>
      </c>
      <c r="R85" s="4">
        <v>41128.65</v>
      </c>
      <c r="S85" s="2">
        <v>201212</v>
      </c>
      <c r="T85" s="16" t="s">
        <v>240</v>
      </c>
    </row>
    <row r="86" spans="1:20" x14ac:dyDescent="0.25">
      <c r="A86" s="9" t="s">
        <v>180</v>
      </c>
      <c r="B86" s="2" t="s">
        <v>233</v>
      </c>
      <c r="C86" s="3" t="s">
        <v>69</v>
      </c>
      <c r="D86" s="3"/>
      <c r="E86" s="4">
        <v>0</v>
      </c>
      <c r="F86" s="4">
        <v>14401.38</v>
      </c>
      <c r="G86" s="4">
        <v>0</v>
      </c>
      <c r="H86" s="4">
        <v>11085.62</v>
      </c>
      <c r="I86" s="4">
        <v>3964.51</v>
      </c>
      <c r="J86" s="4">
        <v>3908.46</v>
      </c>
      <c r="K86" s="4">
        <v>3852.23</v>
      </c>
      <c r="L86" s="4">
        <v>3795.82</v>
      </c>
      <c r="M86" s="4">
        <v>3739.24</v>
      </c>
      <c r="N86" s="4">
        <v>3682.49</v>
      </c>
      <c r="O86" s="4">
        <v>3625.55</v>
      </c>
      <c r="P86" s="4">
        <v>3568.44</v>
      </c>
      <c r="Q86" s="4">
        <v>0</v>
      </c>
      <c r="R86" s="4">
        <v>55623.74</v>
      </c>
      <c r="S86" s="2">
        <v>201212</v>
      </c>
      <c r="T86" s="16" t="s">
        <v>240</v>
      </c>
    </row>
    <row r="87" spans="1:20" x14ac:dyDescent="0.25">
      <c r="A87" s="9" t="s">
        <v>181</v>
      </c>
      <c r="B87" s="2" t="s">
        <v>62</v>
      </c>
      <c r="C87" s="3" t="s">
        <v>69</v>
      </c>
      <c r="D87" s="3"/>
      <c r="E87" s="4">
        <v>0</v>
      </c>
      <c r="F87" s="4">
        <v>10500</v>
      </c>
      <c r="G87" s="4">
        <v>10500</v>
      </c>
      <c r="H87" s="4">
        <v>10500</v>
      </c>
      <c r="I87" s="4">
        <v>10500</v>
      </c>
      <c r="J87" s="4">
        <v>8400</v>
      </c>
      <c r="K87" s="4">
        <v>15026.04</v>
      </c>
      <c r="L87" s="4">
        <v>10900</v>
      </c>
      <c r="M87" s="4">
        <v>10900</v>
      </c>
      <c r="N87" s="4">
        <v>11437.53</v>
      </c>
      <c r="O87" s="4">
        <v>10962.62</v>
      </c>
      <c r="P87" s="4">
        <v>10962.62</v>
      </c>
      <c r="Q87" s="4">
        <v>11014.45</v>
      </c>
      <c r="R87" s="4">
        <v>131603.26</v>
      </c>
      <c r="S87" s="2">
        <v>201212</v>
      </c>
      <c r="T87" s="16" t="s">
        <v>240</v>
      </c>
    </row>
    <row r="88" spans="1:20" x14ac:dyDescent="0.25">
      <c r="A88" s="9" t="s">
        <v>182</v>
      </c>
      <c r="B88" s="2" t="s">
        <v>63</v>
      </c>
      <c r="C88" s="3" t="s">
        <v>69</v>
      </c>
      <c r="D88" s="3"/>
      <c r="E88" s="4">
        <v>0</v>
      </c>
      <c r="F88" s="4">
        <v>3000</v>
      </c>
      <c r="G88" s="4">
        <v>3000</v>
      </c>
      <c r="H88" s="4">
        <v>3000</v>
      </c>
      <c r="I88" s="4">
        <v>3000</v>
      </c>
      <c r="J88" s="4">
        <v>0</v>
      </c>
      <c r="K88" s="4">
        <v>3000</v>
      </c>
      <c r="L88" s="4">
        <v>3000</v>
      </c>
      <c r="M88" s="4">
        <v>3000</v>
      </c>
      <c r="N88" s="4">
        <v>3000</v>
      </c>
      <c r="O88" s="4">
        <v>3000</v>
      </c>
      <c r="P88" s="4">
        <v>3000</v>
      </c>
      <c r="Q88" s="4">
        <v>3000</v>
      </c>
      <c r="R88" s="4">
        <v>33000</v>
      </c>
      <c r="S88" s="2">
        <v>201212</v>
      </c>
      <c r="T88" s="16" t="s">
        <v>240</v>
      </c>
    </row>
    <row r="89" spans="1:20" x14ac:dyDescent="0.25">
      <c r="A89" s="9" t="s">
        <v>183</v>
      </c>
      <c r="B89" s="2" t="s">
        <v>234</v>
      </c>
      <c r="C89" s="3" t="s">
        <v>69</v>
      </c>
      <c r="D89" s="3"/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2">
        <v>201212</v>
      </c>
      <c r="T89" s="16" t="s">
        <v>240</v>
      </c>
    </row>
    <row r="90" spans="1:20" x14ac:dyDescent="0.25">
      <c r="A90" s="9" t="s">
        <v>184</v>
      </c>
      <c r="B90" s="2" t="s">
        <v>198</v>
      </c>
      <c r="C90" s="3" t="s">
        <v>69</v>
      </c>
      <c r="D90" s="3"/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2">
        <v>201212</v>
      </c>
      <c r="T90" s="16" t="s">
        <v>240</v>
      </c>
    </row>
    <row r="91" spans="1:20" x14ac:dyDescent="0.25">
      <c r="A91" s="9" t="s">
        <v>185</v>
      </c>
      <c r="B91" s="2" t="s">
        <v>25</v>
      </c>
      <c r="C91" s="3" t="s">
        <v>69</v>
      </c>
      <c r="D91" s="3"/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271.41000000000003</v>
      </c>
      <c r="R91" s="4">
        <v>271.41000000000003</v>
      </c>
      <c r="S91" s="2">
        <v>201212</v>
      </c>
      <c r="T91" s="16" t="s">
        <v>240</v>
      </c>
    </row>
    <row r="92" spans="1:20" x14ac:dyDescent="0.25">
      <c r="A92" s="9" t="s">
        <v>186</v>
      </c>
      <c r="B92" s="2" t="s">
        <v>235</v>
      </c>
      <c r="C92" s="3" t="s">
        <v>69</v>
      </c>
      <c r="D92" s="3"/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2">
        <v>201212</v>
      </c>
      <c r="T92" s="16" t="s">
        <v>240</v>
      </c>
    </row>
    <row r="93" spans="1:20" x14ac:dyDescent="0.25">
      <c r="A93" s="9" t="s">
        <v>187</v>
      </c>
      <c r="B93" s="2" t="s">
        <v>236</v>
      </c>
      <c r="C93" s="3" t="s">
        <v>69</v>
      </c>
      <c r="D93" s="3"/>
      <c r="E93" s="4">
        <v>0</v>
      </c>
      <c r="F93" s="4">
        <v>752</v>
      </c>
      <c r="G93" s="4">
        <v>1002</v>
      </c>
      <c r="H93" s="4">
        <v>0</v>
      </c>
      <c r="I93" s="4">
        <v>752</v>
      </c>
      <c r="J93" s="4">
        <v>0</v>
      </c>
      <c r="K93" s="4">
        <v>1847</v>
      </c>
      <c r="L93" s="4">
        <v>0</v>
      </c>
      <c r="M93" s="4">
        <v>3571</v>
      </c>
      <c r="N93" s="4">
        <v>0</v>
      </c>
      <c r="O93" s="4">
        <v>255</v>
      </c>
      <c r="P93" s="4">
        <v>752</v>
      </c>
      <c r="Q93" s="4">
        <v>0</v>
      </c>
      <c r="R93" s="4">
        <v>8931</v>
      </c>
      <c r="S93" s="2">
        <v>201212</v>
      </c>
      <c r="T93" s="16" t="s">
        <v>240</v>
      </c>
    </row>
    <row r="94" spans="1:20" x14ac:dyDescent="0.25">
      <c r="A94" s="9" t="s">
        <v>188</v>
      </c>
      <c r="B94" s="2" t="s">
        <v>64</v>
      </c>
      <c r="C94" s="3" t="s">
        <v>69</v>
      </c>
      <c r="D94" s="3"/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2">
        <v>201212</v>
      </c>
      <c r="T94" s="16" t="s">
        <v>240</v>
      </c>
    </row>
    <row r="95" spans="1:20" x14ac:dyDescent="0.25">
      <c r="A95" s="9" t="s">
        <v>189</v>
      </c>
      <c r="B95" s="2" t="s">
        <v>26</v>
      </c>
      <c r="C95" s="3" t="s">
        <v>69</v>
      </c>
      <c r="D95" s="3"/>
      <c r="E95" s="4">
        <v>0</v>
      </c>
      <c r="F95" s="4">
        <v>1462.27</v>
      </c>
      <c r="G95" s="4">
        <v>2123.1999999999998</v>
      </c>
      <c r="H95" s="4">
        <v>2264.13</v>
      </c>
      <c r="I95" s="4">
        <v>3434.62</v>
      </c>
      <c r="J95" s="4">
        <v>0</v>
      </c>
      <c r="K95" s="4">
        <v>2040.3</v>
      </c>
      <c r="L95" s="4">
        <v>1518.56</v>
      </c>
      <c r="M95" s="4">
        <v>3188.4</v>
      </c>
      <c r="N95" s="4">
        <v>963.23</v>
      </c>
      <c r="O95" s="4">
        <v>3324.24</v>
      </c>
      <c r="P95" s="4">
        <v>0</v>
      </c>
      <c r="Q95" s="4">
        <v>1184.08</v>
      </c>
      <c r="R95" s="4">
        <v>21503.03</v>
      </c>
      <c r="S95" s="2">
        <v>201212</v>
      </c>
      <c r="T95" s="16" t="s">
        <v>240</v>
      </c>
    </row>
    <row r="96" spans="1:20" x14ac:dyDescent="0.25">
      <c r="A96" s="9" t="s">
        <v>190</v>
      </c>
      <c r="B96" s="2" t="s">
        <v>65</v>
      </c>
      <c r="C96" s="3" t="s">
        <v>69</v>
      </c>
      <c r="D96" s="3"/>
      <c r="E96" s="4">
        <v>0</v>
      </c>
      <c r="F96" s="4">
        <v>0</v>
      </c>
      <c r="G96" s="4">
        <v>0</v>
      </c>
      <c r="H96" s="4">
        <v>10981.19</v>
      </c>
      <c r="I96" s="4">
        <v>10981.18</v>
      </c>
      <c r="J96" s="4">
        <v>0</v>
      </c>
      <c r="K96" s="4">
        <v>0</v>
      </c>
      <c r="L96" s="4">
        <v>910</v>
      </c>
      <c r="M96" s="4">
        <v>1350</v>
      </c>
      <c r="N96" s="4">
        <v>0</v>
      </c>
      <c r="O96" s="4">
        <v>0</v>
      </c>
      <c r="P96" s="4">
        <v>0</v>
      </c>
      <c r="Q96" s="4">
        <v>0</v>
      </c>
      <c r="R96" s="4">
        <v>24222.37</v>
      </c>
      <c r="S96" s="2">
        <v>201212</v>
      </c>
      <c r="T96" s="16" t="s">
        <v>240</v>
      </c>
    </row>
    <row r="97" spans="1:20" x14ac:dyDescent="0.25">
      <c r="A97" s="9" t="s">
        <v>191</v>
      </c>
      <c r="B97" s="2" t="s">
        <v>237</v>
      </c>
      <c r="C97" s="3" t="s">
        <v>69</v>
      </c>
      <c r="D97" s="3"/>
      <c r="E97" s="4">
        <v>0</v>
      </c>
      <c r="F97" s="4">
        <v>33314.620000000003</v>
      </c>
      <c r="G97" s="4">
        <v>16612.32</v>
      </c>
      <c r="H97" s="4">
        <v>17881.3</v>
      </c>
      <c r="I97" s="4">
        <v>17937.18</v>
      </c>
      <c r="J97" s="4">
        <v>0</v>
      </c>
      <c r="K97" s="4">
        <v>18049.46</v>
      </c>
      <c r="L97" s="4">
        <v>18105.87</v>
      </c>
      <c r="M97" s="4">
        <v>18162.45</v>
      </c>
      <c r="N97" s="4">
        <v>18219.2</v>
      </c>
      <c r="O97" s="4">
        <v>18276.14</v>
      </c>
      <c r="P97" s="4">
        <v>18333.25</v>
      </c>
      <c r="Q97" s="4">
        <v>0</v>
      </c>
      <c r="R97" s="4">
        <v>194891.79</v>
      </c>
      <c r="S97" s="2">
        <v>201212</v>
      </c>
      <c r="T97" s="16" t="s">
        <v>240</v>
      </c>
    </row>
    <row r="98" spans="1:20" x14ac:dyDescent="0.25">
      <c r="A98" s="9" t="s">
        <v>192</v>
      </c>
      <c r="B98" s="2" t="s">
        <v>238</v>
      </c>
      <c r="C98" s="3" t="s">
        <v>69</v>
      </c>
      <c r="D98" s="3"/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2">
        <v>201212</v>
      </c>
      <c r="T98" s="16" t="s">
        <v>240</v>
      </c>
    </row>
    <row r="99" spans="1:20" x14ac:dyDescent="0.25">
      <c r="A99" s="11" t="s">
        <v>193</v>
      </c>
      <c r="B99" s="12" t="s">
        <v>239</v>
      </c>
      <c r="C99" s="13" t="s">
        <v>69</v>
      </c>
      <c r="D99" s="13"/>
      <c r="E99" s="14">
        <v>0</v>
      </c>
      <c r="F99" s="14">
        <v>-38528.89</v>
      </c>
      <c r="G99" s="14">
        <v>-22737.52</v>
      </c>
      <c r="H99" s="14">
        <v>-34126.620000000003</v>
      </c>
      <c r="I99" s="14">
        <v>-36104.980000000003</v>
      </c>
      <c r="J99" s="14">
        <v>0</v>
      </c>
      <c r="K99" s="14">
        <v>-24936.76</v>
      </c>
      <c r="L99" s="14">
        <v>-23534.43</v>
      </c>
      <c r="M99" s="14">
        <v>-29271.85</v>
      </c>
      <c r="N99" s="14">
        <v>-22182.43</v>
      </c>
      <c r="O99" s="14">
        <v>-24855.38</v>
      </c>
      <c r="P99" s="14">
        <v>-22085.25</v>
      </c>
      <c r="Q99" s="14">
        <v>-4455.49</v>
      </c>
      <c r="R99" s="14">
        <v>-282819.59999999998</v>
      </c>
      <c r="S99" s="12">
        <v>201212</v>
      </c>
      <c r="T99" s="17" t="s">
        <v>240</v>
      </c>
    </row>
    <row r="100" spans="1:2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7"/>
  <sheetViews>
    <sheetView tabSelected="1" zoomScale="80" zoomScaleNormal="80" workbookViewId="0">
      <pane xSplit="3" ySplit="4" topLeftCell="D5" activePane="bottomRight" state="frozen"/>
      <selection activeCell="I38" sqref="I38"/>
      <selection pane="topRight" activeCell="I38" sqref="I38"/>
      <selection pane="bottomLeft" activeCell="I38" sqref="I38"/>
      <selection pane="bottomRight" activeCell="F5" sqref="F5"/>
    </sheetView>
  </sheetViews>
  <sheetFormatPr defaultRowHeight="21" x14ac:dyDescent="0.35"/>
  <cols>
    <col min="1" max="1" width="55.28515625" style="134" bestFit="1" customWidth="1"/>
    <col min="2" max="2" width="0" style="134" hidden="1" customWidth="1"/>
    <col min="3" max="3" width="11.140625" style="134" hidden="1" customWidth="1"/>
    <col min="4" max="4" width="18.85546875" style="134" bestFit="1" customWidth="1"/>
    <col min="5" max="5" width="16.28515625" style="134" bestFit="1" customWidth="1"/>
    <col min="6" max="6" width="14.28515625" style="134" bestFit="1" customWidth="1"/>
    <col min="7" max="7" width="5.85546875" style="134" customWidth="1"/>
    <col min="8" max="8" width="0" style="134" hidden="1" customWidth="1"/>
    <col min="9" max="9" width="33.42578125" style="134" customWidth="1"/>
    <col min="10" max="10" width="12.85546875" style="134" bestFit="1" customWidth="1"/>
    <col min="11" max="11" width="85.28515625" style="134" bestFit="1" customWidth="1"/>
    <col min="12" max="13" width="9.140625" style="134" customWidth="1"/>
    <col min="14" max="16384" width="9.140625" style="134"/>
  </cols>
  <sheetData>
    <row r="1" spans="1:15" x14ac:dyDescent="0.35">
      <c r="I1" s="135" t="str">
        <f>'Canyon Gate'!I1</f>
        <v>Projected Annual Budget 2016</v>
      </c>
      <c r="J1" s="136"/>
      <c r="K1" s="137"/>
    </row>
    <row r="2" spans="1:15" x14ac:dyDescent="0.35">
      <c r="I2" s="138" t="s">
        <v>395</v>
      </c>
      <c r="J2" s="139"/>
      <c r="K2" s="140"/>
    </row>
    <row r="3" spans="1:15" ht="21.75" thickBot="1" x14ac:dyDescent="0.4">
      <c r="A3" s="36" t="s">
        <v>487</v>
      </c>
      <c r="D3" s="36"/>
      <c r="G3" s="141"/>
      <c r="I3" s="142"/>
      <c r="J3" s="139"/>
      <c r="K3" s="140"/>
    </row>
    <row r="4" spans="1:15" s="149" customFormat="1" ht="63.75" thickBot="1" x14ac:dyDescent="0.4">
      <c r="A4" s="143" t="s">
        <v>77</v>
      </c>
      <c r="B4" s="143" t="s">
        <v>78</v>
      </c>
      <c r="C4" s="143" t="s">
        <v>79</v>
      </c>
      <c r="D4" s="144" t="str">
        <f>'Canyon Gate'!D4</f>
        <v>2015 Annual Budget</v>
      </c>
      <c r="E4" s="144" t="str">
        <f>'Canyon Gate'!E4</f>
        <v>YTD Actual FY 2015 @ 9/30/15</v>
      </c>
      <c r="F4" s="144" t="str">
        <f>'Canyon Gate'!F4</f>
        <v>FY 2015 - 9 month Avg</v>
      </c>
      <c r="G4" s="141"/>
      <c r="H4" s="145"/>
      <c r="I4" s="146" t="s">
        <v>430</v>
      </c>
      <c r="J4" s="147" t="s">
        <v>431</v>
      </c>
      <c r="K4" s="148"/>
      <c r="L4" s="148"/>
    </row>
    <row r="5" spans="1:15" x14ac:dyDescent="0.35">
      <c r="A5" s="150" t="s">
        <v>419</v>
      </c>
      <c r="B5" s="150">
        <v>3</v>
      </c>
      <c r="C5" s="151">
        <v>-17093.006666666668</v>
      </c>
      <c r="D5" s="141">
        <v>-79190</v>
      </c>
      <c r="E5" s="141">
        <v>-48883</v>
      </c>
      <c r="F5" s="141">
        <f>E5/9</f>
        <v>-5431.4444444444443</v>
      </c>
      <c r="G5" s="141"/>
      <c r="H5" s="152">
        <v>0</v>
      </c>
      <c r="I5" s="153">
        <v>-64500</v>
      </c>
      <c r="J5" s="154">
        <f>I5/12</f>
        <v>-5375</v>
      </c>
      <c r="O5" s="36" t="s">
        <v>80</v>
      </c>
    </row>
    <row r="6" spans="1:15" x14ac:dyDescent="0.35">
      <c r="A6" s="150" t="s">
        <v>407</v>
      </c>
      <c r="B6" s="150">
        <v>3</v>
      </c>
      <c r="C6" s="151">
        <v>-42303.97</v>
      </c>
      <c r="D6" s="141">
        <v>-14420</v>
      </c>
      <c r="E6" s="141">
        <v>-10918</v>
      </c>
      <c r="F6" s="141">
        <f t="shared" ref="F6:F24" si="0">E6/9</f>
        <v>-1213.1111111111111</v>
      </c>
      <c r="G6" s="141"/>
      <c r="H6" s="155">
        <v>0</v>
      </c>
      <c r="I6" s="155">
        <v>-14556.8</v>
      </c>
      <c r="J6" s="156">
        <f>I6/12</f>
        <v>-1213.0666666666666</v>
      </c>
    </row>
    <row r="7" spans="1:15" hidden="1" x14ac:dyDescent="0.35">
      <c r="A7" s="150" t="s">
        <v>234</v>
      </c>
      <c r="B7" s="150"/>
      <c r="C7" s="151"/>
      <c r="D7" s="141">
        <v>0</v>
      </c>
      <c r="E7" s="141">
        <v>0</v>
      </c>
      <c r="F7" s="141">
        <f t="shared" si="0"/>
        <v>0</v>
      </c>
      <c r="G7" s="141"/>
      <c r="H7" s="155">
        <v>0</v>
      </c>
      <c r="I7" s="155">
        <v>0</v>
      </c>
      <c r="J7" s="156">
        <f>I7/12</f>
        <v>0</v>
      </c>
      <c r="K7" s="157"/>
      <c r="O7" s="36"/>
    </row>
    <row r="8" spans="1:15" x14ac:dyDescent="0.35">
      <c r="A8" s="150" t="s">
        <v>397</v>
      </c>
      <c r="B8" s="150">
        <v>3</v>
      </c>
      <c r="C8" s="151">
        <v>-124398.38666666666</v>
      </c>
      <c r="D8" s="141">
        <v>-43700</v>
      </c>
      <c r="E8" s="141">
        <v>-32764</v>
      </c>
      <c r="F8" s="141">
        <f t="shared" si="0"/>
        <v>-3640.4444444444443</v>
      </c>
      <c r="G8" s="141"/>
      <c r="H8" s="155">
        <v>0</v>
      </c>
      <c r="I8" s="155">
        <f>-'Green Ridge'!I34</f>
        <v>-43990</v>
      </c>
      <c r="J8" s="156">
        <f t="shared" ref="J8:J25" si="1">I8/12</f>
        <v>-3665.8333333333335</v>
      </c>
    </row>
    <row r="9" spans="1:15" x14ac:dyDescent="0.35">
      <c r="A9" s="150" t="s">
        <v>398</v>
      </c>
      <c r="B9" s="150">
        <v>3</v>
      </c>
      <c r="C9" s="151">
        <v>-77940.933333333334</v>
      </c>
      <c r="D9" s="141">
        <v>-27630</v>
      </c>
      <c r="E9" s="141">
        <v>-20999</v>
      </c>
      <c r="F9" s="141">
        <f t="shared" si="0"/>
        <v>-2333.2222222222222</v>
      </c>
      <c r="G9" s="141"/>
      <c r="H9" s="155">
        <v>0</v>
      </c>
      <c r="I9" s="155">
        <f>-'Canyon Gate'!I31</f>
        <v>-28180</v>
      </c>
      <c r="J9" s="156">
        <f t="shared" si="1"/>
        <v>-2348.3333333333335</v>
      </c>
    </row>
    <row r="10" spans="1:15" x14ac:dyDescent="0.35">
      <c r="A10" s="150" t="s">
        <v>399</v>
      </c>
      <c r="B10" s="150">
        <v>3</v>
      </c>
      <c r="C10" s="151">
        <v>-13611.743333333332</v>
      </c>
      <c r="D10" s="141">
        <v>-4860</v>
      </c>
      <c r="E10" s="141">
        <v>-3851</v>
      </c>
      <c r="F10" s="141">
        <f t="shared" si="0"/>
        <v>-427.88888888888891</v>
      </c>
      <c r="G10" s="141"/>
      <c r="H10" s="155">
        <v>0</v>
      </c>
      <c r="I10" s="155">
        <f>-'Mtn View'!I28</f>
        <v>-4990</v>
      </c>
      <c r="J10" s="156">
        <f t="shared" si="1"/>
        <v>-415.83333333333331</v>
      </c>
      <c r="O10" s="158">
        <v>0.05</v>
      </c>
    </row>
    <row r="11" spans="1:15" x14ac:dyDescent="0.35">
      <c r="A11" s="150" t="s">
        <v>400</v>
      </c>
      <c r="B11" s="150">
        <v>3</v>
      </c>
      <c r="C11" s="151">
        <v>-127847.69</v>
      </c>
      <c r="D11" s="141">
        <v>-46160</v>
      </c>
      <c r="E11" s="141">
        <v>-35636</v>
      </c>
      <c r="F11" s="141">
        <f t="shared" si="0"/>
        <v>-3959.5555555555557</v>
      </c>
      <c r="G11" s="141"/>
      <c r="H11" s="155">
        <v>0</v>
      </c>
      <c r="I11" s="155">
        <f>-'Caesar Sq'!I36</f>
        <v>-47910</v>
      </c>
      <c r="J11" s="156">
        <f t="shared" si="1"/>
        <v>-3992.5</v>
      </c>
      <c r="K11" s="159"/>
      <c r="O11" s="36" t="s">
        <v>396</v>
      </c>
    </row>
    <row r="12" spans="1:15" x14ac:dyDescent="0.35">
      <c r="A12" s="150" t="s">
        <v>401</v>
      </c>
      <c r="B12" s="150">
        <v>3</v>
      </c>
      <c r="C12" s="151">
        <v>-133682.31666666668</v>
      </c>
      <c r="D12" s="141">
        <v>-49890</v>
      </c>
      <c r="E12" s="141">
        <v>-39613</v>
      </c>
      <c r="F12" s="141">
        <f t="shared" si="0"/>
        <v>-4401.4444444444443</v>
      </c>
      <c r="G12" s="141"/>
      <c r="H12" s="155">
        <v>0</v>
      </c>
      <c r="I12" s="155">
        <f>-'Aspen Ridge'!I32</f>
        <v>-52800</v>
      </c>
      <c r="J12" s="156">
        <f t="shared" si="1"/>
        <v>-4400</v>
      </c>
      <c r="O12" s="158">
        <v>0.03</v>
      </c>
    </row>
    <row r="13" spans="1:15" s="161" customFormat="1" x14ac:dyDescent="0.35">
      <c r="A13" s="160" t="s">
        <v>402</v>
      </c>
      <c r="B13" s="150">
        <v>3</v>
      </c>
      <c r="C13" s="151">
        <v>-133682.31666666668</v>
      </c>
      <c r="D13" s="141">
        <v>-19920</v>
      </c>
      <c r="E13" s="141">
        <v>-15754</v>
      </c>
      <c r="F13" s="141">
        <f t="shared" si="0"/>
        <v>-1750.4444444444443</v>
      </c>
      <c r="G13" s="141"/>
      <c r="H13" s="155">
        <v>0</v>
      </c>
      <c r="I13" s="155">
        <f>-'Redwood Village'!I33</f>
        <v>-20590</v>
      </c>
      <c r="J13" s="156">
        <f t="shared" si="1"/>
        <v>-1715.8333333333333</v>
      </c>
    </row>
    <row r="14" spans="1:15" x14ac:dyDescent="0.35">
      <c r="A14" s="150" t="s">
        <v>403</v>
      </c>
      <c r="B14" s="150">
        <v>3</v>
      </c>
      <c r="C14" s="151">
        <v>-65094.516666666663</v>
      </c>
      <c r="D14" s="141">
        <v>-23960</v>
      </c>
      <c r="E14" s="141">
        <v>-19351</v>
      </c>
      <c r="F14" s="141">
        <f t="shared" si="0"/>
        <v>-2150.1111111111113</v>
      </c>
      <c r="G14" s="141"/>
      <c r="H14" s="155">
        <v>0</v>
      </c>
      <c r="I14" s="155">
        <f>-'Viking Sq'!I32</f>
        <v>-25170</v>
      </c>
      <c r="J14" s="156">
        <f t="shared" si="1"/>
        <v>-2097.5</v>
      </c>
    </row>
    <row r="15" spans="1:15" x14ac:dyDescent="0.35">
      <c r="A15" s="150" t="s">
        <v>404</v>
      </c>
      <c r="B15" s="150">
        <v>3</v>
      </c>
      <c r="C15" s="151">
        <v>-20975.916666666664</v>
      </c>
      <c r="D15" s="141">
        <v>-7240</v>
      </c>
      <c r="E15" s="141">
        <v>-5770</v>
      </c>
      <c r="F15" s="141">
        <f t="shared" si="0"/>
        <v>-641.11111111111109</v>
      </c>
      <c r="G15" s="141"/>
      <c r="H15" s="155">
        <v>0</v>
      </c>
      <c r="I15" s="155">
        <f>-'Kendall Apts'!I27</f>
        <v>-7530</v>
      </c>
      <c r="J15" s="156">
        <f t="shared" si="1"/>
        <v>-627.5</v>
      </c>
    </row>
    <row r="16" spans="1:15" x14ac:dyDescent="0.35">
      <c r="A16" s="150" t="s">
        <v>405</v>
      </c>
      <c r="B16" s="150">
        <v>3</v>
      </c>
      <c r="C16" s="151">
        <v>-77106.263333333336</v>
      </c>
      <c r="D16" s="141">
        <v>-56200</v>
      </c>
      <c r="E16" s="141">
        <v>-42894</v>
      </c>
      <c r="F16" s="141">
        <f t="shared" si="0"/>
        <v>-4766</v>
      </c>
      <c r="G16" s="141"/>
      <c r="H16" s="155">
        <v>0</v>
      </c>
      <c r="I16" s="155">
        <f>-Glendale!I33</f>
        <v>-57430</v>
      </c>
      <c r="J16" s="156">
        <f t="shared" si="1"/>
        <v>-4785.833333333333</v>
      </c>
    </row>
    <row r="17" spans="1:13" x14ac:dyDescent="0.35">
      <c r="A17" s="150" t="s">
        <v>559</v>
      </c>
      <c r="B17" s="150"/>
      <c r="C17" s="151"/>
      <c r="D17" s="141">
        <v>0</v>
      </c>
      <c r="E17" s="141">
        <v>-2114</v>
      </c>
      <c r="F17" s="141">
        <f t="shared" si="0"/>
        <v>-234.88888888888889</v>
      </c>
      <c r="G17" s="141"/>
      <c r="H17" s="155"/>
      <c r="I17" s="155">
        <v>-2900</v>
      </c>
      <c r="J17" s="156">
        <f t="shared" si="1"/>
        <v>-241.66666666666666</v>
      </c>
      <c r="M17" s="134">
        <f>SUM((E17+(F17*3))*1.03)</f>
        <v>-2903.2266666666665</v>
      </c>
    </row>
    <row r="18" spans="1:13" x14ac:dyDescent="0.35">
      <c r="A18" s="150" t="s">
        <v>406</v>
      </c>
      <c r="B18" s="150">
        <v>3</v>
      </c>
      <c r="C18" s="151">
        <v>-21061.533333333333</v>
      </c>
      <c r="D18" s="141">
        <v>-24730</v>
      </c>
      <c r="E18" s="141">
        <v>-18262</v>
      </c>
      <c r="F18" s="141">
        <f t="shared" si="0"/>
        <v>-2029.1111111111111</v>
      </c>
      <c r="G18" s="141"/>
      <c r="H18" s="155">
        <v>0</v>
      </c>
      <c r="I18" s="155">
        <f>-'Lewis Ct'!I33</f>
        <v>-25080</v>
      </c>
      <c r="J18" s="156">
        <f t="shared" si="1"/>
        <v>-2090</v>
      </c>
    </row>
    <row r="19" spans="1:13" x14ac:dyDescent="0.35">
      <c r="A19" s="150" t="s">
        <v>634</v>
      </c>
      <c r="B19" s="150"/>
      <c r="C19" s="151"/>
      <c r="D19" s="141">
        <v>0</v>
      </c>
      <c r="E19" s="141">
        <v>0</v>
      </c>
      <c r="F19" s="141">
        <f t="shared" si="0"/>
        <v>0</v>
      </c>
      <c r="G19" s="141"/>
      <c r="H19" s="155"/>
      <c r="I19" s="155">
        <f>-Harlan!I32</f>
        <v>-2520</v>
      </c>
      <c r="J19" s="156">
        <f t="shared" si="1"/>
        <v>-210</v>
      </c>
      <c r="K19" s="134" t="s">
        <v>636</v>
      </c>
    </row>
    <row r="20" spans="1:13" x14ac:dyDescent="0.35">
      <c r="A20" s="150" t="s">
        <v>441</v>
      </c>
      <c r="B20" s="150"/>
      <c r="C20" s="151"/>
      <c r="D20" s="141">
        <v>-23500</v>
      </c>
      <c r="E20" s="141">
        <v>-19706</v>
      </c>
      <c r="F20" s="141">
        <f t="shared" si="0"/>
        <v>-2189.5555555555557</v>
      </c>
      <c r="G20" s="141"/>
      <c r="H20" s="155">
        <v>0</v>
      </c>
      <c r="I20" s="155">
        <f>-'Lewis Ct'!I85</f>
        <v>-23400</v>
      </c>
      <c r="J20" s="156">
        <f t="shared" si="1"/>
        <v>-1950</v>
      </c>
      <c r="K20" s="162" t="s">
        <v>442</v>
      </c>
    </row>
    <row r="21" spans="1:13" x14ac:dyDescent="0.35">
      <c r="A21" s="150" t="s">
        <v>448</v>
      </c>
      <c r="B21" s="150"/>
      <c r="C21" s="151"/>
      <c r="D21" s="141">
        <v>-85680</v>
      </c>
      <c r="E21" s="141">
        <v>0</v>
      </c>
      <c r="F21" s="141">
        <f t="shared" si="0"/>
        <v>0</v>
      </c>
      <c r="G21" s="141"/>
      <c r="H21" s="155"/>
      <c r="I21" s="155">
        <v>-62078</v>
      </c>
      <c r="J21" s="156">
        <f t="shared" si="1"/>
        <v>-5173.166666666667</v>
      </c>
      <c r="K21" s="162" t="s">
        <v>453</v>
      </c>
    </row>
    <row r="22" spans="1:13" x14ac:dyDescent="0.35">
      <c r="A22" s="150" t="s">
        <v>420</v>
      </c>
      <c r="B22" s="150">
        <v>3</v>
      </c>
      <c r="C22" s="151">
        <v>-64533.333333333328</v>
      </c>
      <c r="D22" s="141">
        <v>-31840</v>
      </c>
      <c r="E22" s="141">
        <v>-31827</v>
      </c>
      <c r="F22" s="141">
        <f t="shared" si="0"/>
        <v>-3536.3333333333335</v>
      </c>
      <c r="G22" s="141"/>
      <c r="H22" s="155">
        <v>0</v>
      </c>
      <c r="I22" s="155">
        <v>-33764</v>
      </c>
      <c r="J22" s="156">
        <f t="shared" si="1"/>
        <v>-2813.6666666666665</v>
      </c>
    </row>
    <row r="23" spans="1:13" x14ac:dyDescent="0.35">
      <c r="A23" s="150" t="s">
        <v>446</v>
      </c>
      <c r="B23" s="150"/>
      <c r="C23" s="151"/>
      <c r="D23" s="141">
        <v>-2100</v>
      </c>
      <c r="E23" s="141">
        <v>-11233</v>
      </c>
      <c r="F23" s="141">
        <f t="shared" si="0"/>
        <v>-1248.1111111111111</v>
      </c>
      <c r="G23" s="141"/>
      <c r="H23" s="155">
        <v>0</v>
      </c>
      <c r="I23" s="155">
        <v>-15420</v>
      </c>
      <c r="J23" s="156">
        <f t="shared" si="1"/>
        <v>-1285</v>
      </c>
      <c r="K23" s="134" t="s">
        <v>642</v>
      </c>
      <c r="M23" s="134">
        <f>SUM((E23+(F23*3))*1.03)</f>
        <v>-15426.653333333332</v>
      </c>
    </row>
    <row r="24" spans="1:13" x14ac:dyDescent="0.35">
      <c r="A24" s="150" t="s">
        <v>35</v>
      </c>
      <c r="B24" s="150"/>
      <c r="C24" s="151"/>
      <c r="D24" s="141">
        <v>-2500</v>
      </c>
      <c r="E24" s="141">
        <v>-37</v>
      </c>
      <c r="F24" s="141">
        <f t="shared" si="0"/>
        <v>-4.1111111111111107</v>
      </c>
      <c r="G24" s="141"/>
      <c r="H24" s="155">
        <v>0</v>
      </c>
      <c r="I24" s="155">
        <v>-2500</v>
      </c>
      <c r="J24" s="156">
        <f t="shared" si="1"/>
        <v>-208.33333333333334</v>
      </c>
    </row>
    <row r="25" spans="1:13" x14ac:dyDescent="0.35">
      <c r="A25" s="150" t="s">
        <v>290</v>
      </c>
      <c r="B25" s="150">
        <v>3</v>
      </c>
      <c r="C25" s="163">
        <f>-8292+2029</f>
        <v>-6263</v>
      </c>
      <c r="D25" s="164">
        <v>-24490</v>
      </c>
      <c r="E25" s="164">
        <v>-28349</v>
      </c>
      <c r="F25" s="164">
        <f>E25/9</f>
        <v>-3149.8888888888887</v>
      </c>
      <c r="G25" s="141"/>
      <c r="H25" s="165">
        <v>0</v>
      </c>
      <c r="I25" s="166">
        <v>-38080</v>
      </c>
      <c r="J25" s="167">
        <f t="shared" si="1"/>
        <v>-3173.3333333333335</v>
      </c>
      <c r="K25" s="168" t="s">
        <v>635</v>
      </c>
      <c r="M25" s="134">
        <f>SUM(E25)+(F25*3)*1.03</f>
        <v>-38082.156666666662</v>
      </c>
    </row>
    <row r="26" spans="1:13" x14ac:dyDescent="0.35">
      <c r="A26" s="169" t="s">
        <v>81</v>
      </c>
      <c r="B26" s="150"/>
      <c r="C26" s="170">
        <f t="shared" ref="C26:J26" si="2">SUM(C5:C25)</f>
        <v>-925594.92666666675</v>
      </c>
      <c r="D26" s="141">
        <f t="shared" si="2"/>
        <v>-568010</v>
      </c>
      <c r="E26" s="141">
        <f t="shared" si="2"/>
        <v>-387961</v>
      </c>
      <c r="F26" s="141">
        <f>SUM(F5:F25)</f>
        <v>-43106.777777777781</v>
      </c>
      <c r="G26" s="141"/>
      <c r="H26" s="155">
        <f t="shared" si="2"/>
        <v>0</v>
      </c>
      <c r="I26" s="155">
        <f t="shared" si="2"/>
        <v>-573388.80000000005</v>
      </c>
      <c r="J26" s="156">
        <f t="shared" si="2"/>
        <v>-47782.399999999994</v>
      </c>
    </row>
    <row r="27" spans="1:13" x14ac:dyDescent="0.35">
      <c r="A27" s="169"/>
      <c r="B27" s="150"/>
      <c r="C27" s="170"/>
      <c r="D27" s="170"/>
      <c r="E27" s="170"/>
      <c r="F27" s="170"/>
      <c r="G27" s="170"/>
      <c r="H27" s="171"/>
      <c r="I27" s="171"/>
      <c r="J27" s="172"/>
    </row>
    <row r="28" spans="1:13" x14ac:dyDescent="0.35">
      <c r="A28" s="150" t="s">
        <v>82</v>
      </c>
      <c r="B28" s="150"/>
      <c r="C28" s="170">
        <f>C58</f>
        <v>1267624.803333333</v>
      </c>
      <c r="D28" s="170">
        <f t="shared" ref="D28:E28" si="3">D58</f>
        <v>363650</v>
      </c>
      <c r="E28" s="170">
        <f t="shared" si="3"/>
        <v>412047</v>
      </c>
      <c r="F28" s="170">
        <f>E28/9</f>
        <v>45783</v>
      </c>
      <c r="G28" s="170"/>
      <c r="H28" s="171">
        <f>H58</f>
        <v>10909.499999999998</v>
      </c>
      <c r="I28" s="171">
        <f>I58</f>
        <v>339620</v>
      </c>
      <c r="J28" s="172">
        <f>J58</f>
        <v>28301.666666666672</v>
      </c>
    </row>
    <row r="29" spans="1:13" x14ac:dyDescent="0.35">
      <c r="A29" s="150" t="s">
        <v>90</v>
      </c>
      <c r="B29" s="150"/>
      <c r="C29" s="170">
        <f>C65</f>
        <v>32131.759999999998</v>
      </c>
      <c r="D29" s="170">
        <f t="shared" ref="D29:E29" si="4">D65</f>
        <v>12390</v>
      </c>
      <c r="E29" s="170">
        <f t="shared" si="4"/>
        <v>7104</v>
      </c>
      <c r="F29" s="170">
        <f t="shared" ref="F29:F31" si="5">E29/9</f>
        <v>789.33333333333337</v>
      </c>
      <c r="G29" s="170"/>
      <c r="H29" s="171">
        <f>H65</f>
        <v>794.50000000000011</v>
      </c>
      <c r="I29" s="171">
        <f>I65</f>
        <v>9870</v>
      </c>
      <c r="J29" s="172">
        <f>J65</f>
        <v>822.5</v>
      </c>
      <c r="K29" s="173"/>
    </row>
    <row r="30" spans="1:13" x14ac:dyDescent="0.35">
      <c r="A30" s="150" t="s">
        <v>95</v>
      </c>
      <c r="B30" s="150"/>
      <c r="C30" s="170">
        <f>C78</f>
        <v>64573.179999999993</v>
      </c>
      <c r="D30" s="170">
        <f t="shared" ref="D30:E30" si="6">D78</f>
        <v>22040</v>
      </c>
      <c r="E30" s="170">
        <f t="shared" si="6"/>
        <v>16445</v>
      </c>
      <c r="F30" s="170">
        <f t="shared" si="5"/>
        <v>1827.2222222222222</v>
      </c>
      <c r="G30" s="170"/>
      <c r="H30" s="174">
        <f>H78</f>
        <v>661.2</v>
      </c>
      <c r="I30" s="171">
        <f>I78</f>
        <v>22570</v>
      </c>
      <c r="J30" s="172">
        <f>J78</f>
        <v>1880.8333333333333</v>
      </c>
    </row>
    <row r="31" spans="1:13" x14ac:dyDescent="0.35">
      <c r="A31" s="150" t="s">
        <v>83</v>
      </c>
      <c r="B31" s="150"/>
      <c r="C31" s="170">
        <f>C88</f>
        <v>534982.31666666665</v>
      </c>
      <c r="D31" s="170">
        <f t="shared" ref="D31:E31" si="7">D88</f>
        <v>179090</v>
      </c>
      <c r="E31" s="170">
        <f t="shared" si="7"/>
        <v>123784</v>
      </c>
      <c r="F31" s="170">
        <f t="shared" si="5"/>
        <v>13753.777777777777</v>
      </c>
      <c r="G31" s="170"/>
      <c r="H31" s="171">
        <f>H88</f>
        <v>6132446520.4499998</v>
      </c>
      <c r="I31" s="171">
        <f>I88</f>
        <v>186590</v>
      </c>
      <c r="J31" s="172">
        <f>J88</f>
        <v>15549.166666666668</v>
      </c>
      <c r="K31" s="173"/>
    </row>
    <row r="32" spans="1:13" x14ac:dyDescent="0.35">
      <c r="A32" s="150" t="s">
        <v>85</v>
      </c>
      <c r="B32" s="150"/>
      <c r="C32" s="175">
        <f t="shared" ref="C32:J32" si="8">C96</f>
        <v>9874.5</v>
      </c>
      <c r="D32" s="175">
        <f t="shared" si="8"/>
        <v>11750</v>
      </c>
      <c r="E32" s="175">
        <f t="shared" si="8"/>
        <v>1980</v>
      </c>
      <c r="F32" s="175">
        <f>E32/9</f>
        <v>220</v>
      </c>
      <c r="G32" s="141"/>
      <c r="H32" s="176">
        <f t="shared" si="8"/>
        <v>0</v>
      </c>
      <c r="I32" s="176">
        <f t="shared" si="8"/>
        <v>27000</v>
      </c>
      <c r="J32" s="177">
        <f t="shared" si="8"/>
        <v>2250</v>
      </c>
      <c r="K32" s="178"/>
    </row>
    <row r="33" spans="1:13" x14ac:dyDescent="0.35">
      <c r="A33" s="150" t="s">
        <v>86</v>
      </c>
      <c r="B33" s="150"/>
      <c r="C33" s="179">
        <f t="shared" ref="C33:J33" si="9">SUM(C28:C32)</f>
        <v>1909186.5599999996</v>
      </c>
      <c r="D33" s="179">
        <f t="shared" si="9"/>
        <v>588920</v>
      </c>
      <c r="E33" s="179">
        <f t="shared" si="9"/>
        <v>561360</v>
      </c>
      <c r="F33" s="179">
        <f t="shared" si="9"/>
        <v>62373.333333333328</v>
      </c>
      <c r="G33" s="141"/>
      <c r="H33" s="176">
        <f t="shared" si="9"/>
        <v>6132458885.6499996</v>
      </c>
      <c r="I33" s="180">
        <f t="shared" si="9"/>
        <v>585650</v>
      </c>
      <c r="J33" s="181">
        <f t="shared" si="9"/>
        <v>48804.166666666672</v>
      </c>
      <c r="K33" s="178"/>
    </row>
    <row r="34" spans="1:13" x14ac:dyDescent="0.35">
      <c r="A34" s="150"/>
      <c r="B34" s="150"/>
      <c r="C34" s="170"/>
      <c r="D34" s="170"/>
      <c r="E34" s="170"/>
      <c r="F34" s="170"/>
      <c r="G34" s="141"/>
      <c r="H34" s="171"/>
      <c r="I34" s="171"/>
      <c r="J34" s="172"/>
      <c r="K34" s="178"/>
    </row>
    <row r="35" spans="1:13" ht="21.75" thickBot="1" x14ac:dyDescent="0.4">
      <c r="A35" s="182" t="s">
        <v>87</v>
      </c>
      <c r="B35" s="183"/>
      <c r="C35" s="184">
        <f>SUM(-C25-C33)</f>
        <v>-1902923.5599999996</v>
      </c>
      <c r="D35" s="185">
        <f>SUM(D26+D33)</f>
        <v>20910</v>
      </c>
      <c r="E35" s="185">
        <f t="shared" ref="E35:F35" si="10">SUM(E26+E33)</f>
        <v>173399</v>
      </c>
      <c r="F35" s="185">
        <f t="shared" si="10"/>
        <v>19266.555555555547</v>
      </c>
      <c r="G35" s="141"/>
      <c r="H35" s="186">
        <f>SUM(-H25-H33)</f>
        <v>-6132458885.6499996</v>
      </c>
      <c r="I35" s="186">
        <f>SUM(I26+I33)</f>
        <v>12261.199999999953</v>
      </c>
      <c r="J35" s="187">
        <f>SUM(J26+J33)</f>
        <v>1021.7666666666773</v>
      </c>
      <c r="K35" s="178"/>
    </row>
    <row r="36" spans="1:13" x14ac:dyDescent="0.35">
      <c r="A36" s="169" t="s">
        <v>454</v>
      </c>
      <c r="B36" s="150"/>
      <c r="C36" s="170"/>
      <c r="D36" s="170"/>
      <c r="E36" s="170"/>
      <c r="F36" s="170"/>
      <c r="G36" s="170"/>
      <c r="H36" s="171"/>
      <c r="I36" s="171"/>
      <c r="J36" s="172"/>
    </row>
    <row r="37" spans="1:13" x14ac:dyDescent="0.35">
      <c r="A37" s="150" t="s">
        <v>38</v>
      </c>
      <c r="B37" s="150">
        <v>3</v>
      </c>
      <c r="C37" s="151">
        <v>1704.6</v>
      </c>
      <c r="D37" s="170">
        <v>80</v>
      </c>
      <c r="E37" s="170">
        <v>0</v>
      </c>
      <c r="F37" s="170">
        <f>E37/9</f>
        <v>0</v>
      </c>
      <c r="G37" s="170"/>
      <c r="H37" s="171">
        <f t="shared" ref="H37:H57" si="11">D37*$O$12</f>
        <v>2.4</v>
      </c>
      <c r="I37" s="171">
        <v>80</v>
      </c>
      <c r="J37" s="172">
        <f t="shared" ref="J37:J57" si="12">I37/12</f>
        <v>6.666666666666667</v>
      </c>
    </row>
    <row r="38" spans="1:13" x14ac:dyDescent="0.35">
      <c r="A38" s="150" t="s">
        <v>39</v>
      </c>
      <c r="B38" s="150">
        <v>3</v>
      </c>
      <c r="C38" s="151">
        <f>645728.44+108321</f>
        <v>754049.44</v>
      </c>
      <c r="D38" s="170">
        <v>270000</v>
      </c>
      <c r="E38" s="170">
        <v>168121</v>
      </c>
      <c r="F38" s="170">
        <f t="shared" ref="F38:F56" si="13">E38/9</f>
        <v>18680.111111111109</v>
      </c>
      <c r="G38" s="170"/>
      <c r="H38" s="171">
        <f t="shared" si="11"/>
        <v>8100</v>
      </c>
      <c r="I38" s="171">
        <v>230890</v>
      </c>
      <c r="J38" s="172">
        <f t="shared" si="12"/>
        <v>19240.833333333332</v>
      </c>
      <c r="K38" s="173" t="s">
        <v>449</v>
      </c>
      <c r="M38" s="134">
        <f>SUM((E38+(F38*3))*1.03)</f>
        <v>230886.17333333331</v>
      </c>
    </row>
    <row r="39" spans="1:13" x14ac:dyDescent="0.35">
      <c r="A39" s="150" t="s">
        <v>40</v>
      </c>
      <c r="B39" s="150">
        <v>3</v>
      </c>
      <c r="C39" s="151">
        <v>9959.7733333333344</v>
      </c>
      <c r="D39" s="170">
        <v>3420</v>
      </c>
      <c r="E39" s="170">
        <v>3906</v>
      </c>
      <c r="F39" s="170">
        <f t="shared" si="13"/>
        <v>434</v>
      </c>
      <c r="G39" s="170"/>
      <c r="H39" s="171">
        <f t="shared" si="11"/>
        <v>102.6</v>
      </c>
      <c r="I39" s="171">
        <v>5360</v>
      </c>
      <c r="J39" s="172">
        <f t="shared" si="12"/>
        <v>446.66666666666669</v>
      </c>
      <c r="M39" s="134">
        <f t="shared" ref="M39:M55" si="14">SUM((E39+(F39*3))*1.03)</f>
        <v>5364.24</v>
      </c>
    </row>
    <row r="40" spans="1:13" x14ac:dyDescent="0.35">
      <c r="A40" s="150" t="s">
        <v>41</v>
      </c>
      <c r="B40" s="150">
        <v>3</v>
      </c>
      <c r="C40" s="151">
        <f>7880.76-45</f>
        <v>7835.76</v>
      </c>
      <c r="D40" s="170">
        <v>2560</v>
      </c>
      <c r="E40" s="170">
        <v>901</v>
      </c>
      <c r="F40" s="170">
        <f t="shared" si="13"/>
        <v>100.11111111111111</v>
      </c>
      <c r="G40" s="170"/>
      <c r="H40" s="171">
        <f t="shared" si="11"/>
        <v>76.8</v>
      </c>
      <c r="I40" s="171">
        <v>1240</v>
      </c>
      <c r="J40" s="172">
        <f t="shared" si="12"/>
        <v>103.33333333333333</v>
      </c>
      <c r="M40" s="134">
        <f t="shared" si="14"/>
        <v>1237.3733333333334</v>
      </c>
    </row>
    <row r="41" spans="1:13" x14ac:dyDescent="0.35">
      <c r="A41" s="150" t="s">
        <v>408</v>
      </c>
      <c r="B41" s="150">
        <v>3</v>
      </c>
      <c r="C41" s="151">
        <f>15550.21+33</f>
        <v>15583.21</v>
      </c>
      <c r="D41" s="170">
        <v>5230</v>
      </c>
      <c r="E41" s="170">
        <v>4258</v>
      </c>
      <c r="F41" s="170">
        <f t="shared" si="13"/>
        <v>473.11111111111109</v>
      </c>
      <c r="G41" s="170"/>
      <c r="H41" s="171">
        <f t="shared" si="11"/>
        <v>156.9</v>
      </c>
      <c r="I41" s="171">
        <v>5850</v>
      </c>
      <c r="J41" s="172">
        <f t="shared" si="12"/>
        <v>487.5</v>
      </c>
      <c r="M41" s="134">
        <f t="shared" si="14"/>
        <v>5847.6533333333327</v>
      </c>
    </row>
    <row r="42" spans="1:13" x14ac:dyDescent="0.35">
      <c r="A42" s="150" t="s">
        <v>303</v>
      </c>
      <c r="B42" s="150">
        <v>3</v>
      </c>
      <c r="C42" s="151">
        <f>44678.06-668</f>
        <v>44010.06</v>
      </c>
      <c r="D42" s="170">
        <v>15110</v>
      </c>
      <c r="E42" s="170">
        <v>13597</v>
      </c>
      <c r="F42" s="170">
        <f t="shared" si="13"/>
        <v>1510.7777777777778</v>
      </c>
      <c r="G42" s="170"/>
      <c r="H42" s="171">
        <f t="shared" si="11"/>
        <v>453.3</v>
      </c>
      <c r="I42" s="171">
        <v>18670</v>
      </c>
      <c r="J42" s="172">
        <f t="shared" si="12"/>
        <v>1555.8333333333333</v>
      </c>
      <c r="M42" s="134">
        <f t="shared" si="14"/>
        <v>18673.213333333337</v>
      </c>
    </row>
    <row r="43" spans="1:13" x14ac:dyDescent="0.35">
      <c r="A43" s="150" t="s">
        <v>409</v>
      </c>
      <c r="B43" s="150">
        <v>3</v>
      </c>
      <c r="C43" s="151">
        <f>1523.2+3021</f>
        <v>4544.2</v>
      </c>
      <c r="D43" s="170">
        <v>1560</v>
      </c>
      <c r="E43" s="170">
        <v>743</v>
      </c>
      <c r="F43" s="170">
        <f t="shared" si="13"/>
        <v>82.555555555555557</v>
      </c>
      <c r="G43" s="170"/>
      <c r="H43" s="171">
        <f t="shared" si="11"/>
        <v>46.8</v>
      </c>
      <c r="I43" s="171">
        <v>1020</v>
      </c>
      <c r="J43" s="172">
        <f t="shared" si="12"/>
        <v>85</v>
      </c>
      <c r="M43" s="134">
        <f t="shared" si="14"/>
        <v>1020.3866666666668</v>
      </c>
    </row>
    <row r="44" spans="1:13" x14ac:dyDescent="0.35">
      <c r="A44" s="150" t="s">
        <v>432</v>
      </c>
      <c r="B44" s="150">
        <v>3</v>
      </c>
      <c r="C44" s="151">
        <f>29</f>
        <v>29</v>
      </c>
      <c r="D44" s="170">
        <v>50</v>
      </c>
      <c r="E44" s="170">
        <v>99</v>
      </c>
      <c r="F44" s="170">
        <f t="shared" si="13"/>
        <v>11</v>
      </c>
      <c r="G44" s="170"/>
      <c r="H44" s="171">
        <f t="shared" si="11"/>
        <v>1.5</v>
      </c>
      <c r="I44" s="171">
        <v>130</v>
      </c>
      <c r="J44" s="172">
        <f t="shared" si="12"/>
        <v>10.833333333333334</v>
      </c>
      <c r="M44" s="134">
        <f t="shared" si="14"/>
        <v>135.96</v>
      </c>
    </row>
    <row r="45" spans="1:13" x14ac:dyDescent="0.35">
      <c r="A45" s="150" t="s">
        <v>410</v>
      </c>
      <c r="B45" s="150">
        <v>3</v>
      </c>
      <c r="C45" s="151">
        <f>4829.98+8771</f>
        <v>13600.98</v>
      </c>
      <c r="D45" s="170">
        <v>4670</v>
      </c>
      <c r="E45" s="170">
        <v>2124</v>
      </c>
      <c r="F45" s="170">
        <f t="shared" si="13"/>
        <v>236</v>
      </c>
      <c r="G45" s="170"/>
      <c r="H45" s="171">
        <f t="shared" si="11"/>
        <v>140.1</v>
      </c>
      <c r="I45" s="171">
        <v>2950</v>
      </c>
      <c r="J45" s="172">
        <f t="shared" si="12"/>
        <v>245.83333333333334</v>
      </c>
      <c r="M45" s="134">
        <f t="shared" si="14"/>
        <v>2916.96</v>
      </c>
    </row>
    <row r="46" spans="1:13" x14ac:dyDescent="0.35">
      <c r="A46" s="150" t="s">
        <v>364</v>
      </c>
      <c r="B46" s="150">
        <v>3</v>
      </c>
      <c r="C46" s="151">
        <f>1375+4479</f>
        <v>5854</v>
      </c>
      <c r="D46" s="170">
        <v>2010</v>
      </c>
      <c r="E46" s="170">
        <v>8490</v>
      </c>
      <c r="F46" s="170">
        <f t="shared" si="13"/>
        <v>943.33333333333337</v>
      </c>
      <c r="G46" s="170"/>
      <c r="H46" s="171">
        <f t="shared" si="11"/>
        <v>60.3</v>
      </c>
      <c r="I46" s="171">
        <v>11660</v>
      </c>
      <c r="J46" s="172">
        <f t="shared" si="12"/>
        <v>971.66666666666663</v>
      </c>
      <c r="M46" s="134">
        <f>SUM((E46+(F46*3))*1.03)</f>
        <v>11659.6</v>
      </c>
    </row>
    <row r="47" spans="1:13" x14ac:dyDescent="0.35">
      <c r="A47" s="150" t="s">
        <v>253</v>
      </c>
      <c r="B47" s="150">
        <v>3</v>
      </c>
      <c r="C47" s="151">
        <f>138730.45-67663</f>
        <v>71067.450000000012</v>
      </c>
      <c r="D47" s="170">
        <v>2000</v>
      </c>
      <c r="E47" s="170">
        <v>19556</v>
      </c>
      <c r="F47" s="170">
        <f t="shared" si="13"/>
        <v>2172.8888888888887</v>
      </c>
      <c r="G47" s="170"/>
      <c r="H47" s="171">
        <f t="shared" si="11"/>
        <v>60</v>
      </c>
      <c r="I47" s="171">
        <v>2000</v>
      </c>
      <c r="J47" s="172">
        <f t="shared" si="12"/>
        <v>166.66666666666666</v>
      </c>
      <c r="M47" s="134">
        <f t="shared" si="14"/>
        <v>26856.906666666666</v>
      </c>
    </row>
    <row r="48" spans="1:13" x14ac:dyDescent="0.35">
      <c r="A48" s="150" t="s">
        <v>411</v>
      </c>
      <c r="B48" s="150">
        <v>3</v>
      </c>
      <c r="C48" s="151">
        <f>764.66+663</f>
        <v>1427.6599999999999</v>
      </c>
      <c r="D48" s="170">
        <v>7000</v>
      </c>
      <c r="E48" s="170">
        <v>6474</v>
      </c>
      <c r="F48" s="170">
        <f t="shared" si="13"/>
        <v>719.33333333333337</v>
      </c>
      <c r="G48" s="170"/>
      <c r="H48" s="171">
        <f t="shared" si="11"/>
        <v>210</v>
      </c>
      <c r="I48" s="171">
        <v>8890</v>
      </c>
      <c r="J48" s="172">
        <f t="shared" si="12"/>
        <v>740.83333333333337</v>
      </c>
      <c r="M48" s="134">
        <f t="shared" si="14"/>
        <v>8890.9600000000009</v>
      </c>
    </row>
    <row r="49" spans="1:14" ht="42" hidden="1" x14ac:dyDescent="0.35">
      <c r="A49" s="150" t="s">
        <v>594</v>
      </c>
      <c r="B49" s="150">
        <v>3</v>
      </c>
      <c r="C49" s="151">
        <v>184492.03999999998</v>
      </c>
      <c r="D49" s="170">
        <v>0</v>
      </c>
      <c r="E49" s="170">
        <v>0</v>
      </c>
      <c r="F49" s="170">
        <f t="shared" si="13"/>
        <v>0</v>
      </c>
      <c r="G49" s="170"/>
      <c r="H49" s="171">
        <f t="shared" si="11"/>
        <v>0</v>
      </c>
      <c r="I49" s="171">
        <v>0</v>
      </c>
      <c r="J49" s="172">
        <f t="shared" si="12"/>
        <v>0</v>
      </c>
      <c r="K49" s="162" t="s">
        <v>595</v>
      </c>
    </row>
    <row r="50" spans="1:14" x14ac:dyDescent="0.35">
      <c r="A50" s="150" t="s">
        <v>43</v>
      </c>
      <c r="B50" s="150">
        <v>3</v>
      </c>
      <c r="C50" s="151">
        <f>10031.49+5523</f>
        <v>15554.49</v>
      </c>
      <c r="D50" s="170">
        <v>5340</v>
      </c>
      <c r="E50" s="170">
        <v>1935</v>
      </c>
      <c r="F50" s="170">
        <f t="shared" si="13"/>
        <v>215</v>
      </c>
      <c r="G50" s="170"/>
      <c r="H50" s="171">
        <f t="shared" si="11"/>
        <v>160.19999999999999</v>
      </c>
      <c r="I50" s="171">
        <v>2660</v>
      </c>
      <c r="J50" s="172">
        <f t="shared" si="12"/>
        <v>221.66666666666666</v>
      </c>
      <c r="M50" s="134">
        <f t="shared" si="14"/>
        <v>2657.4</v>
      </c>
    </row>
    <row r="51" spans="1:14" x14ac:dyDescent="0.35">
      <c r="A51" s="150" t="s">
        <v>412</v>
      </c>
      <c r="B51" s="150">
        <v>3</v>
      </c>
      <c r="C51" s="151">
        <f>12657.67+3129</f>
        <v>15786.67</v>
      </c>
      <c r="D51" s="170">
        <v>4820</v>
      </c>
      <c r="E51" s="170">
        <v>5260</v>
      </c>
      <c r="F51" s="170">
        <f t="shared" si="13"/>
        <v>584.44444444444446</v>
      </c>
      <c r="G51" s="170"/>
      <c r="H51" s="171">
        <f t="shared" si="11"/>
        <v>144.6</v>
      </c>
      <c r="I51" s="171">
        <v>7220</v>
      </c>
      <c r="J51" s="172">
        <f t="shared" si="12"/>
        <v>601.66666666666663</v>
      </c>
      <c r="M51" s="134">
        <f t="shared" si="14"/>
        <v>7223.7333333333345</v>
      </c>
    </row>
    <row r="52" spans="1:14" x14ac:dyDescent="0.35">
      <c r="A52" s="150" t="s">
        <v>337</v>
      </c>
      <c r="B52" s="150">
        <v>3</v>
      </c>
      <c r="C52" s="151">
        <f>9516.54+6677</f>
        <v>16193.54</v>
      </c>
      <c r="D52" s="170">
        <v>5250</v>
      </c>
      <c r="E52" s="170">
        <v>4230</v>
      </c>
      <c r="F52" s="170">
        <f t="shared" si="13"/>
        <v>470</v>
      </c>
      <c r="G52" s="170"/>
      <c r="H52" s="171">
        <f t="shared" si="11"/>
        <v>157.5</v>
      </c>
      <c r="I52" s="171">
        <v>5810</v>
      </c>
      <c r="J52" s="172">
        <f t="shared" si="12"/>
        <v>484.16666666666669</v>
      </c>
      <c r="M52" s="134">
        <f t="shared" si="14"/>
        <v>5809.2</v>
      </c>
    </row>
    <row r="53" spans="1:14" x14ac:dyDescent="0.35">
      <c r="A53" s="150" t="s">
        <v>224</v>
      </c>
      <c r="B53" s="150">
        <v>3</v>
      </c>
      <c r="C53" s="151">
        <f>10560.17+5605</f>
        <v>16165.17</v>
      </c>
      <c r="D53" s="170">
        <v>4830</v>
      </c>
      <c r="E53" s="170">
        <v>1126</v>
      </c>
      <c r="F53" s="170">
        <f t="shared" si="13"/>
        <v>125.11111111111111</v>
      </c>
      <c r="G53" s="170"/>
      <c r="H53" s="171">
        <f t="shared" si="11"/>
        <v>144.9</v>
      </c>
      <c r="I53" s="171">
        <v>1550</v>
      </c>
      <c r="J53" s="172">
        <f t="shared" si="12"/>
        <v>129.16666666666666</v>
      </c>
      <c r="K53" s="173"/>
      <c r="M53" s="134">
        <f t="shared" si="14"/>
        <v>1546.3733333333334</v>
      </c>
    </row>
    <row r="54" spans="1:14" ht="42" x14ac:dyDescent="0.35">
      <c r="A54" s="150" t="s">
        <v>278</v>
      </c>
      <c r="B54" s="150">
        <v>3</v>
      </c>
      <c r="C54" s="151">
        <f>14120.85-2151</f>
        <v>11969.85</v>
      </c>
      <c r="D54" s="170">
        <v>3820</v>
      </c>
      <c r="E54" s="170">
        <v>3483</v>
      </c>
      <c r="F54" s="170">
        <f t="shared" si="13"/>
        <v>387</v>
      </c>
      <c r="G54" s="170"/>
      <c r="H54" s="171">
        <f t="shared" si="11"/>
        <v>114.6</v>
      </c>
      <c r="I54" s="171">
        <f>4780+5000+2000</f>
        <v>11780</v>
      </c>
      <c r="J54" s="172">
        <f t="shared" si="12"/>
        <v>981.66666666666663</v>
      </c>
      <c r="K54" s="173" t="s">
        <v>646</v>
      </c>
      <c r="M54" s="134">
        <f t="shared" si="14"/>
        <v>4783.32</v>
      </c>
    </row>
    <row r="55" spans="1:14" x14ac:dyDescent="0.35">
      <c r="A55" s="150" t="s">
        <v>413</v>
      </c>
      <c r="B55" s="150">
        <v>3</v>
      </c>
      <c r="C55" s="151">
        <f>109082.25-53335</f>
        <v>55747.25</v>
      </c>
      <c r="D55" s="170">
        <v>18330</v>
      </c>
      <c r="E55" s="170">
        <v>10573</v>
      </c>
      <c r="F55" s="170">
        <f t="shared" si="13"/>
        <v>1174.7777777777778</v>
      </c>
      <c r="G55" s="170"/>
      <c r="H55" s="171">
        <f t="shared" si="11"/>
        <v>549.9</v>
      </c>
      <c r="I55" s="171">
        <v>14520</v>
      </c>
      <c r="J55" s="172">
        <f t="shared" si="12"/>
        <v>1210</v>
      </c>
      <c r="K55" s="173"/>
      <c r="M55" s="134">
        <f t="shared" si="14"/>
        <v>14520.253333333334</v>
      </c>
      <c r="N55" s="134">
        <f>SUM((E55+(F55*3))*1.03)</f>
        <v>14520.253333333334</v>
      </c>
    </row>
    <row r="56" spans="1:14" x14ac:dyDescent="0.35">
      <c r="A56" s="150" t="s">
        <v>560</v>
      </c>
      <c r="B56" s="150"/>
      <c r="C56" s="151"/>
      <c r="D56" s="170">
        <v>0</v>
      </c>
      <c r="E56" s="170">
        <v>151828</v>
      </c>
      <c r="F56" s="170">
        <f t="shared" si="13"/>
        <v>16869.777777777777</v>
      </c>
      <c r="G56" s="170"/>
      <c r="H56" s="171">
        <f t="shared" si="11"/>
        <v>0</v>
      </c>
      <c r="I56" s="171">
        <v>0</v>
      </c>
      <c r="J56" s="172">
        <f t="shared" si="12"/>
        <v>0</v>
      </c>
      <c r="K56" s="173" t="s">
        <v>592</v>
      </c>
    </row>
    <row r="57" spans="1:14" x14ac:dyDescent="0.35">
      <c r="A57" s="150" t="s">
        <v>414</v>
      </c>
      <c r="B57" s="150">
        <v>3</v>
      </c>
      <c r="C57" s="163">
        <f>13708.66+8341</f>
        <v>22049.66</v>
      </c>
      <c r="D57" s="175">
        <v>7570</v>
      </c>
      <c r="E57" s="175">
        <v>5343</v>
      </c>
      <c r="F57" s="175">
        <f>E57/9</f>
        <v>593.66666666666663</v>
      </c>
      <c r="G57" s="141"/>
      <c r="H57" s="176">
        <f t="shared" si="11"/>
        <v>227.1</v>
      </c>
      <c r="I57" s="176">
        <v>7340</v>
      </c>
      <c r="J57" s="177">
        <f t="shared" si="12"/>
        <v>611.66666666666663</v>
      </c>
      <c r="K57" s="173"/>
      <c r="M57" s="134">
        <f>SUM((E57+(F57*3))*1.03)</f>
        <v>7337.72</v>
      </c>
    </row>
    <row r="58" spans="1:14" x14ac:dyDescent="0.35">
      <c r="A58" s="169" t="s">
        <v>88</v>
      </c>
      <c r="B58" s="150"/>
      <c r="C58" s="170">
        <f>SUM(C37:C57)</f>
        <v>1267624.803333333</v>
      </c>
      <c r="D58" s="170">
        <f>SUM(D37:D57)</f>
        <v>363650</v>
      </c>
      <c r="E58" s="170">
        <f>SUM(E37:E57)</f>
        <v>412047</v>
      </c>
      <c r="F58" s="170">
        <f>SUM(F37:F57)</f>
        <v>45782.999999999993</v>
      </c>
      <c r="G58" s="141"/>
      <c r="H58" s="171">
        <f>SUM(H37:H57)</f>
        <v>10909.499999999998</v>
      </c>
      <c r="I58" s="171">
        <f>SUM(I37:I57)</f>
        <v>339620</v>
      </c>
      <c r="J58" s="172">
        <f>SUM(J37:J57)</f>
        <v>28301.666666666672</v>
      </c>
      <c r="K58" s="173"/>
    </row>
    <row r="59" spans="1:14" ht="8.25" customHeight="1" x14ac:dyDescent="0.35">
      <c r="A59" s="150"/>
      <c r="B59" s="150"/>
      <c r="C59" s="170"/>
      <c r="D59" s="170"/>
      <c r="E59" s="170"/>
      <c r="F59" s="170"/>
      <c r="G59" s="170"/>
      <c r="H59" s="171"/>
      <c r="I59" s="171"/>
      <c r="J59" s="172"/>
      <c r="K59" s="173"/>
    </row>
    <row r="60" spans="1:14" x14ac:dyDescent="0.35">
      <c r="A60" s="169" t="s">
        <v>455</v>
      </c>
      <c r="B60" s="150"/>
      <c r="C60" s="170"/>
      <c r="D60" s="170"/>
      <c r="E60" s="170"/>
      <c r="F60" s="170"/>
      <c r="G60" s="170"/>
      <c r="H60" s="171"/>
      <c r="I60" s="171"/>
      <c r="J60" s="172"/>
      <c r="K60" s="173"/>
    </row>
    <row r="61" spans="1:14" x14ac:dyDescent="0.35">
      <c r="A61" s="150" t="s">
        <v>292</v>
      </c>
      <c r="B61" s="150">
        <v>3</v>
      </c>
      <c r="C61" s="151">
        <v>15728.383333333335</v>
      </c>
      <c r="D61" s="170">
        <v>5970</v>
      </c>
      <c r="E61" s="170">
        <v>3817</v>
      </c>
      <c r="F61" s="170">
        <f>E61/9</f>
        <v>424.11111111111109</v>
      </c>
      <c r="G61" s="170"/>
      <c r="H61" s="171">
        <f>D61*$M$61</f>
        <v>417.90000000000003</v>
      </c>
      <c r="I61" s="171">
        <v>5290</v>
      </c>
      <c r="J61" s="172">
        <f t="shared" ref="J61:J65" si="15">I61/12</f>
        <v>440.83333333333331</v>
      </c>
      <c r="K61" s="173" t="s">
        <v>530</v>
      </c>
      <c r="M61" s="188">
        <v>7.0000000000000007E-2</v>
      </c>
    </row>
    <row r="62" spans="1:14" x14ac:dyDescent="0.35">
      <c r="A62" s="150" t="s">
        <v>341</v>
      </c>
      <c r="B62" s="150">
        <v>3</v>
      </c>
      <c r="C62" s="151">
        <f>7045.76+353</f>
        <v>7398.76</v>
      </c>
      <c r="D62" s="170">
        <v>2770</v>
      </c>
      <c r="E62" s="170">
        <v>1137</v>
      </c>
      <c r="F62" s="170">
        <f t="shared" ref="F62:F63" si="16">E62/9</f>
        <v>126.33333333333333</v>
      </c>
      <c r="G62" s="170"/>
      <c r="H62" s="171">
        <f>D62*$M$62</f>
        <v>138.5</v>
      </c>
      <c r="I62" s="171">
        <v>1580</v>
      </c>
      <c r="J62" s="172">
        <f t="shared" si="15"/>
        <v>131.66666666666666</v>
      </c>
      <c r="K62" s="173" t="s">
        <v>531</v>
      </c>
      <c r="M62" s="188">
        <v>0.05</v>
      </c>
      <c r="N62" s="134">
        <f>SUM((E62+(F62*3))*1.04)</f>
        <v>1576.64</v>
      </c>
    </row>
    <row r="63" spans="1:14" x14ac:dyDescent="0.35">
      <c r="A63" s="150" t="s">
        <v>415</v>
      </c>
      <c r="B63" s="150">
        <v>3</v>
      </c>
      <c r="C63" s="151">
        <f>7017.91+301</f>
        <v>7318.91</v>
      </c>
      <c r="D63" s="170">
        <v>2780</v>
      </c>
      <c r="E63" s="170">
        <v>1846</v>
      </c>
      <c r="F63" s="170">
        <f t="shared" si="16"/>
        <v>205.11111111111111</v>
      </c>
      <c r="G63" s="170"/>
      <c r="H63" s="171">
        <f>D63*$M$63</f>
        <v>194.60000000000002</v>
      </c>
      <c r="I63" s="171">
        <v>2580</v>
      </c>
      <c r="J63" s="172">
        <f t="shared" si="15"/>
        <v>215</v>
      </c>
      <c r="K63" s="173" t="s">
        <v>590</v>
      </c>
      <c r="M63" s="188">
        <v>7.0000000000000007E-2</v>
      </c>
      <c r="N63" s="134">
        <f>SUM((E63+(F63*3))*1.05)</f>
        <v>2584.4</v>
      </c>
    </row>
    <row r="64" spans="1:14" x14ac:dyDescent="0.35">
      <c r="A64" s="150" t="s">
        <v>342</v>
      </c>
      <c r="B64" s="150">
        <v>3</v>
      </c>
      <c r="C64" s="163">
        <v>1685.7066666666667</v>
      </c>
      <c r="D64" s="175">
        <v>870</v>
      </c>
      <c r="E64" s="175">
        <v>304</v>
      </c>
      <c r="F64" s="175">
        <f>E64/9</f>
        <v>33.777777777777779</v>
      </c>
      <c r="G64" s="141"/>
      <c r="H64" s="176">
        <f>D64*$M$64</f>
        <v>43.5</v>
      </c>
      <c r="I64" s="176">
        <v>420</v>
      </c>
      <c r="J64" s="177">
        <f t="shared" si="15"/>
        <v>35</v>
      </c>
      <c r="K64" s="173" t="s">
        <v>531</v>
      </c>
      <c r="M64" s="188">
        <v>0.05</v>
      </c>
      <c r="N64" s="134">
        <f>SUM((E64+(F64*3))*1.04)</f>
        <v>421.54666666666674</v>
      </c>
    </row>
    <row r="65" spans="1:14" x14ac:dyDescent="0.35">
      <c r="A65" s="169" t="s">
        <v>307</v>
      </c>
      <c r="B65" s="150"/>
      <c r="C65" s="170">
        <f>SUM(C61:C64)</f>
        <v>32131.759999999998</v>
      </c>
      <c r="D65" s="170">
        <f>SUM(D61:D64)</f>
        <v>12390</v>
      </c>
      <c r="E65" s="170">
        <f>SUM(E61:E64)</f>
        <v>7104</v>
      </c>
      <c r="F65" s="170">
        <f>SUM(F61:F64)</f>
        <v>789.33333333333337</v>
      </c>
      <c r="G65" s="141"/>
      <c r="H65" s="171">
        <f>SUM(H61:H64)</f>
        <v>794.50000000000011</v>
      </c>
      <c r="I65" s="171">
        <f>SUM(I61:I64)</f>
        <v>9870</v>
      </c>
      <c r="J65" s="172">
        <f t="shared" si="15"/>
        <v>822.5</v>
      </c>
      <c r="K65" s="173"/>
    </row>
    <row r="66" spans="1:14" ht="8.25" customHeight="1" x14ac:dyDescent="0.35">
      <c r="A66" s="150"/>
      <c r="B66" s="150"/>
      <c r="C66" s="170"/>
      <c r="D66" s="170"/>
      <c r="E66" s="170"/>
      <c r="F66" s="170"/>
      <c r="G66" s="170"/>
      <c r="H66" s="171"/>
      <c r="I66" s="171"/>
      <c r="J66" s="172"/>
    </row>
    <row r="67" spans="1:14" x14ac:dyDescent="0.35">
      <c r="A67" s="169" t="s">
        <v>456</v>
      </c>
      <c r="B67" s="150"/>
      <c r="C67" s="170"/>
      <c r="D67" s="170"/>
      <c r="E67" s="170"/>
      <c r="F67" s="170"/>
      <c r="G67" s="170"/>
      <c r="H67" s="171"/>
      <c r="I67" s="171"/>
      <c r="J67" s="172"/>
      <c r="K67" s="173"/>
    </row>
    <row r="68" spans="1:14" x14ac:dyDescent="0.35">
      <c r="A68" s="150" t="s">
        <v>50</v>
      </c>
      <c r="B68" s="150">
        <v>3</v>
      </c>
      <c r="C68" s="151">
        <v>291</v>
      </c>
      <c r="D68" s="170">
        <v>180</v>
      </c>
      <c r="E68" s="170">
        <v>201</v>
      </c>
      <c r="F68" s="170">
        <f>E68/9</f>
        <v>22.333333333333332</v>
      </c>
      <c r="G68" s="170"/>
      <c r="H68" s="171">
        <f t="shared" ref="H68:H77" si="17">D68*$O$12</f>
        <v>5.3999999999999995</v>
      </c>
      <c r="I68" s="171">
        <v>280</v>
      </c>
      <c r="J68" s="172">
        <f t="shared" ref="J68:J78" si="18">I68/12</f>
        <v>23.333333333333332</v>
      </c>
      <c r="M68" s="134">
        <f>SUM((E68+(F68*3))*1.03)</f>
        <v>276.04000000000002</v>
      </c>
    </row>
    <row r="69" spans="1:14" x14ac:dyDescent="0.35">
      <c r="A69" s="150" t="s">
        <v>344</v>
      </c>
      <c r="B69" s="150">
        <v>3</v>
      </c>
      <c r="C69" s="151">
        <f>6060+5007</f>
        <v>11067</v>
      </c>
      <c r="D69" s="170">
        <v>3800</v>
      </c>
      <c r="E69" s="170">
        <v>2631</v>
      </c>
      <c r="F69" s="170">
        <f t="shared" ref="F69:F72" si="19">E69/9</f>
        <v>292.33333333333331</v>
      </c>
      <c r="G69" s="170"/>
      <c r="H69" s="171">
        <f t="shared" si="17"/>
        <v>114</v>
      </c>
      <c r="I69" s="171">
        <v>3610</v>
      </c>
      <c r="J69" s="172">
        <f t="shared" si="18"/>
        <v>300.83333333333331</v>
      </c>
      <c r="M69" s="134">
        <f t="shared" ref="M69:M77" si="20">SUM((E69+(F69*3))*1.03)</f>
        <v>3613.2400000000002</v>
      </c>
    </row>
    <row r="70" spans="1:14" x14ac:dyDescent="0.35">
      <c r="A70" s="150" t="s">
        <v>347</v>
      </c>
      <c r="B70" s="150">
        <v>3</v>
      </c>
      <c r="C70" s="151">
        <f>1405+23</f>
        <v>1428</v>
      </c>
      <c r="D70" s="170">
        <v>500</v>
      </c>
      <c r="E70" s="170">
        <v>424</v>
      </c>
      <c r="F70" s="170">
        <f t="shared" si="19"/>
        <v>47.111111111111114</v>
      </c>
      <c r="G70" s="170"/>
      <c r="H70" s="171">
        <f t="shared" si="17"/>
        <v>15</v>
      </c>
      <c r="I70" s="171">
        <v>580</v>
      </c>
      <c r="J70" s="172">
        <f t="shared" si="18"/>
        <v>48.333333333333336</v>
      </c>
      <c r="K70" s="173" t="s">
        <v>570</v>
      </c>
      <c r="M70" s="134">
        <f t="shared" si="20"/>
        <v>582.29333333333341</v>
      </c>
    </row>
    <row r="71" spans="1:14" x14ac:dyDescent="0.35">
      <c r="A71" s="150" t="s">
        <v>416</v>
      </c>
      <c r="B71" s="150">
        <v>3</v>
      </c>
      <c r="C71" s="151">
        <f>8730+1173</f>
        <v>9903</v>
      </c>
      <c r="D71" s="170">
        <v>3190</v>
      </c>
      <c r="E71" s="170">
        <v>2785</v>
      </c>
      <c r="F71" s="170">
        <f t="shared" si="19"/>
        <v>309.44444444444446</v>
      </c>
      <c r="G71" s="170"/>
      <c r="H71" s="171">
        <f t="shared" si="17"/>
        <v>95.7</v>
      </c>
      <c r="I71" s="171">
        <v>3820</v>
      </c>
      <c r="J71" s="172">
        <f t="shared" si="18"/>
        <v>318.33333333333331</v>
      </c>
      <c r="M71" s="134">
        <f t="shared" si="20"/>
        <v>3824.7333333333336</v>
      </c>
    </row>
    <row r="72" spans="1:14" x14ac:dyDescent="0.35">
      <c r="A72" s="150" t="s">
        <v>257</v>
      </c>
      <c r="B72" s="150">
        <v>3</v>
      </c>
      <c r="C72" s="151">
        <f>2537-877</f>
        <v>1660</v>
      </c>
      <c r="D72" s="170">
        <v>510</v>
      </c>
      <c r="E72" s="170">
        <v>272</v>
      </c>
      <c r="F72" s="170">
        <f t="shared" si="19"/>
        <v>30.222222222222221</v>
      </c>
      <c r="G72" s="170"/>
      <c r="H72" s="171">
        <f t="shared" si="17"/>
        <v>15.299999999999999</v>
      </c>
      <c r="I72" s="171">
        <v>370</v>
      </c>
      <c r="J72" s="172">
        <f t="shared" si="18"/>
        <v>30.833333333333332</v>
      </c>
      <c r="M72" s="134">
        <f t="shared" si="20"/>
        <v>373.54666666666662</v>
      </c>
    </row>
    <row r="73" spans="1:14" x14ac:dyDescent="0.35">
      <c r="A73" s="150" t="s">
        <v>55</v>
      </c>
      <c r="B73" s="150">
        <v>3</v>
      </c>
      <c r="C73" s="151">
        <f>23953.23+659</f>
        <v>24612.23</v>
      </c>
      <c r="D73" s="170">
        <v>7610</v>
      </c>
      <c r="E73" s="170">
        <v>6208</v>
      </c>
      <c r="F73" s="170">
        <f>E73/9</f>
        <v>689.77777777777783</v>
      </c>
      <c r="G73" s="170"/>
      <c r="H73" s="171">
        <f t="shared" si="17"/>
        <v>228.29999999999998</v>
      </c>
      <c r="I73" s="171">
        <v>8520</v>
      </c>
      <c r="J73" s="172">
        <f t="shared" si="18"/>
        <v>710</v>
      </c>
      <c r="M73" s="134">
        <f t="shared" si="20"/>
        <v>8525.6533333333336</v>
      </c>
      <c r="N73" s="134">
        <f>SUM(I69)*7.65%</f>
        <v>276.16500000000002</v>
      </c>
    </row>
    <row r="74" spans="1:14" hidden="1" x14ac:dyDescent="0.35">
      <c r="A74" s="150" t="s">
        <v>526</v>
      </c>
      <c r="B74" s="150"/>
      <c r="C74" s="151"/>
      <c r="D74" s="170">
        <v>0</v>
      </c>
      <c r="E74" s="170">
        <v>0</v>
      </c>
      <c r="F74" s="170">
        <f t="shared" ref="F74:F78" si="21">E74/9</f>
        <v>0</v>
      </c>
      <c r="G74" s="170"/>
      <c r="H74" s="171"/>
      <c r="I74" s="171">
        <v>0</v>
      </c>
      <c r="J74" s="172">
        <f t="shared" si="18"/>
        <v>0</v>
      </c>
      <c r="K74" s="173"/>
    </row>
    <row r="75" spans="1:14" hidden="1" x14ac:dyDescent="0.35">
      <c r="A75" s="150" t="s">
        <v>527</v>
      </c>
      <c r="B75" s="150"/>
      <c r="C75" s="151"/>
      <c r="D75" s="170">
        <v>0</v>
      </c>
      <c r="E75" s="170">
        <v>0</v>
      </c>
      <c r="F75" s="170">
        <f t="shared" si="21"/>
        <v>0</v>
      </c>
      <c r="G75" s="170"/>
      <c r="H75" s="171"/>
      <c r="I75" s="171">
        <v>0</v>
      </c>
      <c r="J75" s="172">
        <f t="shared" si="18"/>
        <v>0</v>
      </c>
      <c r="K75" s="173"/>
      <c r="N75" s="134">
        <f>SUM(I69)*30%</f>
        <v>1083</v>
      </c>
    </row>
    <row r="76" spans="1:14" x14ac:dyDescent="0.35">
      <c r="A76" s="150" t="s">
        <v>376</v>
      </c>
      <c r="B76" s="150">
        <v>3</v>
      </c>
      <c r="C76" s="151">
        <f>8840.95+829</f>
        <v>9669.9500000000007</v>
      </c>
      <c r="D76" s="170">
        <v>3320</v>
      </c>
      <c r="E76" s="170">
        <v>2454</v>
      </c>
      <c r="F76" s="170">
        <f t="shared" si="21"/>
        <v>272.66666666666669</v>
      </c>
      <c r="G76" s="170"/>
      <c r="H76" s="171">
        <f t="shared" si="17"/>
        <v>99.6</v>
      </c>
      <c r="I76" s="171">
        <v>3370</v>
      </c>
      <c r="J76" s="172">
        <f t="shared" si="18"/>
        <v>280.83333333333331</v>
      </c>
      <c r="M76" s="134">
        <f t="shared" si="20"/>
        <v>3370.1600000000003</v>
      </c>
      <c r="N76" s="134">
        <f>SUM((E76+(F76*3))*1.03)</f>
        <v>3370.1600000000003</v>
      </c>
    </row>
    <row r="77" spans="1:14" x14ac:dyDescent="0.35">
      <c r="A77" s="150" t="s">
        <v>259</v>
      </c>
      <c r="B77" s="150">
        <v>3</v>
      </c>
      <c r="C77" s="163">
        <f>4803+1139</f>
        <v>5942</v>
      </c>
      <c r="D77" s="175">
        <v>2930</v>
      </c>
      <c r="E77" s="175">
        <v>1470</v>
      </c>
      <c r="F77" s="175">
        <f t="shared" si="21"/>
        <v>163.33333333333334</v>
      </c>
      <c r="G77" s="141"/>
      <c r="H77" s="176">
        <f t="shared" si="17"/>
        <v>87.899999999999991</v>
      </c>
      <c r="I77" s="176">
        <v>2020</v>
      </c>
      <c r="J77" s="177">
        <f t="shared" si="18"/>
        <v>168.33333333333334</v>
      </c>
      <c r="K77" s="134" t="s">
        <v>655</v>
      </c>
      <c r="M77" s="134">
        <f t="shared" si="20"/>
        <v>2018.8</v>
      </c>
    </row>
    <row r="78" spans="1:14" x14ac:dyDescent="0.35">
      <c r="A78" s="169" t="s">
        <v>91</v>
      </c>
      <c r="B78" s="150"/>
      <c r="C78" s="170">
        <f>SUM(C68:C77)</f>
        <v>64573.179999999993</v>
      </c>
      <c r="D78" s="170">
        <f>SUM(D68:D77)</f>
        <v>22040</v>
      </c>
      <c r="E78" s="170">
        <f>SUM(E68:E77)</f>
        <v>16445</v>
      </c>
      <c r="F78" s="170">
        <f t="shared" si="21"/>
        <v>1827.2222222222222</v>
      </c>
      <c r="G78" s="141"/>
      <c r="H78" s="171">
        <f>SUM(H68:H77)</f>
        <v>661.2</v>
      </c>
      <c r="I78" s="171">
        <f>SUM(I68:I77)</f>
        <v>22570</v>
      </c>
      <c r="J78" s="172">
        <f t="shared" si="18"/>
        <v>1880.8333333333333</v>
      </c>
    </row>
    <row r="79" spans="1:14" ht="11.25" customHeight="1" x14ac:dyDescent="0.35">
      <c r="A79" s="150"/>
      <c r="B79" s="150"/>
      <c r="C79" s="170"/>
      <c r="D79" s="170"/>
      <c r="E79" s="170"/>
      <c r="F79" s="170"/>
      <c r="G79" s="170"/>
      <c r="H79" s="171"/>
      <c r="I79" s="171"/>
      <c r="J79" s="172"/>
    </row>
    <row r="80" spans="1:14" x14ac:dyDescent="0.35">
      <c r="A80" s="169" t="s">
        <v>457</v>
      </c>
      <c r="B80" s="150"/>
      <c r="C80" s="170"/>
      <c r="D80" s="170"/>
      <c r="E80" s="170"/>
      <c r="F80" s="170"/>
      <c r="G80" s="170"/>
      <c r="H80" s="171"/>
      <c r="I80" s="171"/>
      <c r="J80" s="172"/>
    </row>
    <row r="81" spans="1:13" x14ac:dyDescent="0.35">
      <c r="A81" s="150" t="s">
        <v>42</v>
      </c>
      <c r="B81" s="150">
        <v>3</v>
      </c>
      <c r="C81" s="151">
        <f>45607.46+9488</f>
        <v>55095.46</v>
      </c>
      <c r="D81" s="170">
        <v>20650</v>
      </c>
      <c r="E81" s="170">
        <v>13063</v>
      </c>
      <c r="F81" s="170">
        <f>E81/9</f>
        <v>1451.4444444444443</v>
      </c>
      <c r="G81" s="170"/>
      <c r="H81" s="171">
        <f>D81*$M$81</f>
        <v>364742705.25</v>
      </c>
      <c r="I81" s="171">
        <v>17660</v>
      </c>
      <c r="J81" s="172">
        <f t="shared" ref="J81:J87" si="22">I81/12</f>
        <v>1471.6666666666667</v>
      </c>
      <c r="K81" s="173" t="s">
        <v>427</v>
      </c>
      <c r="M81" s="134">
        <f>SUM(I38)*7.65%</f>
        <v>17663.084999999999</v>
      </c>
    </row>
    <row r="82" spans="1:13" x14ac:dyDescent="0.35">
      <c r="A82" s="150" t="s">
        <v>260</v>
      </c>
      <c r="B82" s="150">
        <v>3</v>
      </c>
      <c r="C82" s="151">
        <f>35246.51+6667</f>
        <v>41913.51</v>
      </c>
      <c r="D82" s="170">
        <v>12800</v>
      </c>
      <c r="E82" s="170">
        <v>12031</v>
      </c>
      <c r="F82" s="170">
        <f t="shared" ref="F82:F86" si="23">E82/9</f>
        <v>1336.7777777777778</v>
      </c>
      <c r="G82" s="170"/>
      <c r="H82" s="171">
        <f>D82*$M$82</f>
        <v>157076736</v>
      </c>
      <c r="I82" s="171">
        <v>12270</v>
      </c>
      <c r="J82" s="172">
        <f t="shared" si="22"/>
        <v>1022.5</v>
      </c>
      <c r="K82" s="173" t="s">
        <v>593</v>
      </c>
      <c r="M82" s="134">
        <f>E82*1.02</f>
        <v>12271.62</v>
      </c>
    </row>
    <row r="83" spans="1:13" x14ac:dyDescent="0.35">
      <c r="A83" s="150" t="s">
        <v>59</v>
      </c>
      <c r="B83" s="150">
        <v>3</v>
      </c>
      <c r="C83" s="151">
        <f>143970.08+35246</f>
        <v>179216.08</v>
      </c>
      <c r="D83" s="170">
        <v>81000</v>
      </c>
      <c r="E83" s="170">
        <v>42041</v>
      </c>
      <c r="F83" s="170">
        <f t="shared" si="23"/>
        <v>4671.2222222222226</v>
      </c>
      <c r="G83" s="170"/>
      <c r="H83" s="171">
        <f>D83*$M$83</f>
        <v>5610627000</v>
      </c>
      <c r="I83" s="171">
        <v>69270</v>
      </c>
      <c r="J83" s="172">
        <f t="shared" si="22"/>
        <v>5772.5</v>
      </c>
      <c r="K83" s="173" t="s">
        <v>424</v>
      </c>
      <c r="M83" s="134">
        <f>I38*0.3</f>
        <v>69267</v>
      </c>
    </row>
    <row r="84" spans="1:13" x14ac:dyDescent="0.35">
      <c r="A84" s="150" t="s">
        <v>293</v>
      </c>
      <c r="B84" s="150">
        <v>3</v>
      </c>
      <c r="C84" s="151">
        <f>7649.34+39</f>
        <v>7688.34</v>
      </c>
      <c r="D84" s="170">
        <v>2640</v>
      </c>
      <c r="E84" s="170">
        <v>4702</v>
      </c>
      <c r="F84" s="170">
        <f t="shared" si="23"/>
        <v>522.44444444444446</v>
      </c>
      <c r="G84" s="170"/>
      <c r="H84" s="171">
        <f>D84*$O$12</f>
        <v>79.2</v>
      </c>
      <c r="I84" s="171">
        <v>6460</v>
      </c>
      <c r="J84" s="172">
        <f t="shared" si="22"/>
        <v>538.33333333333337</v>
      </c>
      <c r="K84" s="189" t="s">
        <v>640</v>
      </c>
      <c r="M84" s="134">
        <f t="shared" ref="M84" si="24">SUM((E84+(F84*3))*1.03)</f>
        <v>6457.4133333333339</v>
      </c>
    </row>
    <row r="85" spans="1:13" x14ac:dyDescent="0.35">
      <c r="A85" s="150" t="s">
        <v>561</v>
      </c>
      <c r="B85" s="150"/>
      <c r="C85" s="151"/>
      <c r="D85" s="170">
        <v>0</v>
      </c>
      <c r="E85" s="170">
        <v>68</v>
      </c>
      <c r="F85" s="170">
        <f t="shared" si="23"/>
        <v>7.5555555555555554</v>
      </c>
      <c r="G85" s="170"/>
      <c r="H85" s="171"/>
      <c r="I85" s="171">
        <v>90</v>
      </c>
      <c r="J85" s="172">
        <f t="shared" si="22"/>
        <v>7.5</v>
      </c>
      <c r="M85" s="134">
        <f>SUM((E85+(F85*3))*1.04)</f>
        <v>94.293333333333322</v>
      </c>
    </row>
    <row r="86" spans="1:13" x14ac:dyDescent="0.35">
      <c r="A86" s="150" t="s">
        <v>417</v>
      </c>
      <c r="B86" s="150">
        <v>3</v>
      </c>
      <c r="C86" s="151">
        <v>111666.66666666666</v>
      </c>
      <c r="D86" s="170">
        <v>15000</v>
      </c>
      <c r="E86" s="170">
        <v>17500</v>
      </c>
      <c r="F86" s="170">
        <f t="shared" si="23"/>
        <v>1944.4444444444443</v>
      </c>
      <c r="G86" s="170"/>
      <c r="H86" s="171">
        <v>0</v>
      </c>
      <c r="I86" s="171">
        <v>35000</v>
      </c>
      <c r="J86" s="172">
        <f t="shared" si="22"/>
        <v>2916.6666666666665</v>
      </c>
      <c r="K86" s="173" t="s">
        <v>443</v>
      </c>
    </row>
    <row r="87" spans="1:13" x14ac:dyDescent="0.35">
      <c r="A87" s="150" t="s">
        <v>62</v>
      </c>
      <c r="B87" s="150">
        <v>3</v>
      </c>
      <c r="C87" s="163">
        <v>139402.26</v>
      </c>
      <c r="D87" s="175">
        <v>47000</v>
      </c>
      <c r="E87" s="175">
        <v>34379</v>
      </c>
      <c r="F87" s="175">
        <f>E87/9</f>
        <v>3819.8888888888887</v>
      </c>
      <c r="G87" s="141"/>
      <c r="H87" s="176">
        <v>0</v>
      </c>
      <c r="I87" s="176">
        <v>45840</v>
      </c>
      <c r="J87" s="177">
        <f t="shared" si="22"/>
        <v>3820</v>
      </c>
      <c r="K87" s="173" t="s">
        <v>262</v>
      </c>
    </row>
    <row r="88" spans="1:13" x14ac:dyDescent="0.35">
      <c r="A88" s="169" t="s">
        <v>92</v>
      </c>
      <c r="B88" s="150"/>
      <c r="C88" s="170">
        <f>SUM(C81:C87)</f>
        <v>534982.31666666665</v>
      </c>
      <c r="D88" s="170">
        <f t="shared" ref="D88:E88" si="25">SUM(D81:D87)</f>
        <v>179090</v>
      </c>
      <c r="E88" s="170">
        <f t="shared" si="25"/>
        <v>123784</v>
      </c>
      <c r="F88" s="170">
        <f>SUM(F81:F87)</f>
        <v>13753.777777777779</v>
      </c>
      <c r="G88" s="141"/>
      <c r="H88" s="171">
        <f>SUM(H81:H87)</f>
        <v>6132446520.4499998</v>
      </c>
      <c r="I88" s="171">
        <f>SUM(I81:I87)</f>
        <v>186590</v>
      </c>
      <c r="J88" s="172">
        <f>SUM(J81:J87)</f>
        <v>15549.166666666668</v>
      </c>
    </row>
    <row r="89" spans="1:13" ht="9" customHeight="1" x14ac:dyDescent="0.35">
      <c r="A89" s="150"/>
      <c r="B89" s="150"/>
      <c r="C89" s="170"/>
      <c r="D89" s="170"/>
      <c r="E89" s="170"/>
      <c r="F89" s="170"/>
      <c r="G89" s="170"/>
      <c r="H89" s="171"/>
      <c r="I89" s="171"/>
      <c r="J89" s="172"/>
    </row>
    <row r="90" spans="1:13" x14ac:dyDescent="0.35">
      <c r="A90" s="169" t="s">
        <v>458</v>
      </c>
      <c r="B90" s="150"/>
      <c r="C90" s="170"/>
      <c r="D90" s="170"/>
      <c r="E90" s="170"/>
      <c r="F90" s="170"/>
      <c r="G90" s="170"/>
      <c r="H90" s="171"/>
      <c r="I90" s="171"/>
      <c r="J90" s="172"/>
    </row>
    <row r="91" spans="1:13" x14ac:dyDescent="0.35">
      <c r="A91" s="150" t="s">
        <v>265</v>
      </c>
      <c r="B91" s="150">
        <v>3</v>
      </c>
      <c r="C91" s="151">
        <v>17108</v>
      </c>
      <c r="D91" s="170">
        <v>6000</v>
      </c>
      <c r="E91" s="170">
        <v>0</v>
      </c>
      <c r="F91" s="170">
        <f>E91/9</f>
        <v>0</v>
      </c>
      <c r="G91" s="170"/>
      <c r="H91" s="171">
        <v>0</v>
      </c>
      <c r="I91" s="171">
        <v>6000</v>
      </c>
      <c r="J91" s="172">
        <f t="shared" ref="J91:J92" si="26">I91/12</f>
        <v>500</v>
      </c>
      <c r="K91" s="173" t="s">
        <v>422</v>
      </c>
    </row>
    <row r="92" spans="1:13" x14ac:dyDescent="0.35">
      <c r="A92" s="150" t="s">
        <v>297</v>
      </c>
      <c r="B92" s="150"/>
      <c r="C92" s="151"/>
      <c r="D92" s="170">
        <v>2000</v>
      </c>
      <c r="E92" s="170">
        <v>0</v>
      </c>
      <c r="F92" s="170">
        <f>E92/9</f>
        <v>0</v>
      </c>
      <c r="G92" s="170"/>
      <c r="H92" s="171">
        <v>0</v>
      </c>
      <c r="I92" s="171">
        <v>2000</v>
      </c>
      <c r="J92" s="172">
        <f t="shared" si="26"/>
        <v>166.66666666666666</v>
      </c>
      <c r="K92" s="173" t="s">
        <v>423</v>
      </c>
    </row>
    <row r="93" spans="1:13" hidden="1" x14ac:dyDescent="0.35">
      <c r="A93" s="150" t="s">
        <v>64</v>
      </c>
      <c r="B93" s="150">
        <v>3</v>
      </c>
      <c r="C93" s="151">
        <v>689</v>
      </c>
      <c r="D93" s="170">
        <v>0</v>
      </c>
      <c r="E93" s="170">
        <f t="shared" ref="E93:E94" si="27">D93/12</f>
        <v>0</v>
      </c>
      <c r="F93" s="170">
        <f t="shared" ref="F93:F94" si="28">E93/9</f>
        <v>0</v>
      </c>
      <c r="G93" s="170"/>
      <c r="H93" s="171">
        <f>D93*$M$83</f>
        <v>0</v>
      </c>
      <c r="I93" s="171">
        <f t="shared" ref="I93:I94" si="29">D93+H93</f>
        <v>0</v>
      </c>
      <c r="J93" s="172">
        <f t="shared" ref="J93:J94" si="30">I93/12</f>
        <v>0</v>
      </c>
    </row>
    <row r="94" spans="1:13" hidden="1" x14ac:dyDescent="0.35">
      <c r="A94" s="150" t="s">
        <v>26</v>
      </c>
      <c r="B94" s="150">
        <v>3</v>
      </c>
      <c r="C94" s="151">
        <v>0</v>
      </c>
      <c r="D94" s="170">
        <v>0</v>
      </c>
      <c r="E94" s="170">
        <f t="shared" si="27"/>
        <v>0</v>
      </c>
      <c r="F94" s="170">
        <f t="shared" si="28"/>
        <v>0</v>
      </c>
      <c r="G94" s="170"/>
      <c r="H94" s="171">
        <f>D94*$M$83</f>
        <v>0</v>
      </c>
      <c r="I94" s="171">
        <f t="shared" si="29"/>
        <v>0</v>
      </c>
      <c r="J94" s="172">
        <f t="shared" si="30"/>
        <v>0</v>
      </c>
    </row>
    <row r="95" spans="1:13" x14ac:dyDescent="0.35">
      <c r="A95" s="150" t="s">
        <v>418</v>
      </c>
      <c r="B95" s="150">
        <v>3</v>
      </c>
      <c r="C95" s="163">
        <v>9185.5</v>
      </c>
      <c r="D95" s="175">
        <v>3750</v>
      </c>
      <c r="E95" s="175">
        <v>1980</v>
      </c>
      <c r="F95" s="175">
        <f>E95/9</f>
        <v>220</v>
      </c>
      <c r="G95" s="141"/>
      <c r="H95" s="176">
        <v>0</v>
      </c>
      <c r="I95" s="176">
        <f>3750+14450+800</f>
        <v>19000</v>
      </c>
      <c r="J95" s="177">
        <f t="shared" ref="J95" si="31">I95/12</f>
        <v>1583.3333333333333</v>
      </c>
      <c r="K95" s="173" t="s">
        <v>645</v>
      </c>
    </row>
    <row r="96" spans="1:13" ht="21.75" thickBot="1" x14ac:dyDescent="0.4">
      <c r="A96" s="169" t="s">
        <v>320</v>
      </c>
      <c r="B96" s="150"/>
      <c r="C96" s="170">
        <f>SUM(C93:C95)</f>
        <v>9874.5</v>
      </c>
      <c r="D96" s="170">
        <f>SUM(D91:D95)</f>
        <v>11750</v>
      </c>
      <c r="E96" s="170">
        <f>SUM(E91:E95)</f>
        <v>1980</v>
      </c>
      <c r="F96" s="170">
        <f>SUM(F91:F95)</f>
        <v>220</v>
      </c>
      <c r="G96" s="141"/>
      <c r="H96" s="190">
        <f>SUM(H91:H95)</f>
        <v>0</v>
      </c>
      <c r="I96" s="191">
        <f>SUM(I91:I95)</f>
        <v>27000</v>
      </c>
      <c r="J96" s="192">
        <f>SUM(J91:J95)</f>
        <v>2250</v>
      </c>
      <c r="K96" s="173"/>
    </row>
    <row r="97" spans="1:7" x14ac:dyDescent="0.35">
      <c r="A97" s="150"/>
      <c r="B97" s="150"/>
      <c r="C97" s="150"/>
      <c r="D97" s="150"/>
      <c r="E97" s="150"/>
      <c r="F97" s="150"/>
      <c r="G97" s="150"/>
    </row>
  </sheetData>
  <pageMargins left="0.56999999999999995" right="0.22" top="0.76" bottom="0.38" header="0.3" footer="0.18"/>
  <pageSetup scale="40"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4"/>
  <sheetViews>
    <sheetView topLeftCell="A37" zoomScale="80" zoomScaleNormal="80" workbookViewId="0">
      <selection activeCell="F20" sqref="F20"/>
    </sheetView>
  </sheetViews>
  <sheetFormatPr defaultRowHeight="21" x14ac:dyDescent="0.35"/>
  <cols>
    <col min="1" max="1" width="51" style="134" bestFit="1" customWidth="1"/>
    <col min="2" max="2" width="9.140625" style="134" hidden="1" customWidth="1"/>
    <col min="3" max="3" width="12.7109375" style="134" hidden="1" customWidth="1"/>
    <col min="4" max="4" width="18.85546875" style="134" customWidth="1"/>
    <col min="5" max="5" width="20" style="134" bestFit="1" customWidth="1"/>
    <col min="6" max="6" width="16.7109375" style="134" bestFit="1" customWidth="1"/>
    <col min="7" max="7" width="0" style="134" hidden="1" customWidth="1"/>
    <col min="8" max="8" width="3.28515625" style="134" customWidth="1"/>
    <col min="9" max="9" width="34.85546875" style="134" customWidth="1"/>
    <col min="10" max="10" width="14.85546875" style="134" bestFit="1" customWidth="1"/>
    <col min="11" max="11" width="72.42578125" style="134" customWidth="1"/>
    <col min="12" max="12" width="12.140625" style="134" bestFit="1" customWidth="1"/>
    <col min="13" max="13" width="11.28515625" style="134" bestFit="1" customWidth="1"/>
    <col min="14" max="14" width="9.5703125" style="134" bestFit="1" customWidth="1"/>
    <col min="15" max="16384" width="9.140625" style="134"/>
  </cols>
  <sheetData>
    <row r="1" spans="1:13" x14ac:dyDescent="0.35">
      <c r="G1" s="135"/>
      <c r="H1" s="193"/>
      <c r="I1" s="135" t="str">
        <f>Rehab!I1</f>
        <v>Projected Annual Budget 2016</v>
      </c>
      <c r="J1" s="136"/>
      <c r="K1" s="137"/>
    </row>
    <row r="2" spans="1:13" ht="21.75" thickBot="1" x14ac:dyDescent="0.4">
      <c r="G2" s="138"/>
      <c r="H2" s="194"/>
      <c r="I2" s="195" t="s">
        <v>395</v>
      </c>
      <c r="J2" s="196"/>
      <c r="K2" s="140"/>
    </row>
    <row r="3" spans="1:13" ht="21.75" thickBot="1" x14ac:dyDescent="0.4">
      <c r="A3" s="36" t="s">
        <v>478</v>
      </c>
      <c r="D3" s="36"/>
      <c r="H3" s="141"/>
      <c r="I3" s="145"/>
      <c r="J3" s="139"/>
      <c r="K3" s="140"/>
    </row>
    <row r="4" spans="1:13" s="149" customFormat="1" ht="63.75" thickBot="1" x14ac:dyDescent="0.4">
      <c r="A4" s="143" t="s">
        <v>77</v>
      </c>
      <c r="B4" s="143" t="s">
        <v>78</v>
      </c>
      <c r="C4" s="143" t="s">
        <v>79</v>
      </c>
      <c r="D4" s="144" t="str">
        <f>Rehab!D4</f>
        <v>2015 Annual Budget</v>
      </c>
      <c r="E4" s="144" t="str">
        <f>Rehab!E4</f>
        <v>YTD Actual FY 2015 @ 9/30/15</v>
      </c>
      <c r="F4" s="144" t="str">
        <f>Rehab!F4</f>
        <v>FY 2015 - 9 month Avg</v>
      </c>
      <c r="G4" s="145"/>
      <c r="H4" s="141"/>
      <c r="I4" s="197" t="s">
        <v>430</v>
      </c>
      <c r="J4" s="147" t="s">
        <v>431</v>
      </c>
      <c r="K4" s="148"/>
      <c r="L4" s="148"/>
    </row>
    <row r="5" spans="1:13" x14ac:dyDescent="0.35">
      <c r="A5" s="150" t="s">
        <v>35</v>
      </c>
      <c r="B5" s="150">
        <v>3</v>
      </c>
      <c r="C5" s="170">
        <v>-5549.9166666666661</v>
      </c>
      <c r="D5" s="141">
        <v>-2340</v>
      </c>
      <c r="E5" s="141">
        <v>-164</v>
      </c>
      <c r="F5" s="141">
        <f>E5/9</f>
        <v>-18.222222222222221</v>
      </c>
      <c r="G5" s="152">
        <f>D5*$M$6</f>
        <v>-70.2</v>
      </c>
      <c r="H5" s="141"/>
      <c r="I5" s="198">
        <v>-2000</v>
      </c>
      <c r="J5" s="156">
        <f t="shared" ref="J5:J11" si="0">I5/12</f>
        <v>-166.66666666666666</v>
      </c>
    </row>
    <row r="6" spans="1:13" x14ac:dyDescent="0.35">
      <c r="A6" s="150" t="s">
        <v>384</v>
      </c>
      <c r="B6" s="150">
        <v>3</v>
      </c>
      <c r="C6" s="170">
        <v>-2519884.666666667</v>
      </c>
      <c r="D6" s="141">
        <v>-840000</v>
      </c>
      <c r="E6" s="141">
        <v>-637187</v>
      </c>
      <c r="F6" s="141">
        <f t="shared" ref="F6:F10" si="1">E6/9</f>
        <v>-70798.555555555562</v>
      </c>
      <c r="G6" s="155">
        <v>0</v>
      </c>
      <c r="H6" s="141"/>
      <c r="I6" s="198">
        <v>-875000</v>
      </c>
      <c r="J6" s="156">
        <f t="shared" si="0"/>
        <v>-72916.666666666672</v>
      </c>
      <c r="K6" s="199" t="s">
        <v>574</v>
      </c>
      <c r="L6" s="134">
        <f>SUM((E6+(F6*3))*1.03)</f>
        <v>-875070.14666666673</v>
      </c>
      <c r="M6" s="161">
        <v>0.03</v>
      </c>
    </row>
    <row r="7" spans="1:13" x14ac:dyDescent="0.35">
      <c r="A7" s="150" t="s">
        <v>385</v>
      </c>
      <c r="B7" s="150">
        <v>3</v>
      </c>
      <c r="C7" s="170">
        <v>-29246175.333333336</v>
      </c>
      <c r="D7" s="141">
        <v>-9635000</v>
      </c>
      <c r="E7" s="141">
        <v>-7706696</v>
      </c>
      <c r="F7" s="141">
        <f t="shared" si="1"/>
        <v>-856299.5555555555</v>
      </c>
      <c r="G7" s="155">
        <v>0</v>
      </c>
      <c r="H7" s="141"/>
      <c r="I7" s="198">
        <v>-10102480</v>
      </c>
      <c r="J7" s="156">
        <f t="shared" si="0"/>
        <v>-841873.33333333337</v>
      </c>
      <c r="K7" s="199" t="s">
        <v>576</v>
      </c>
    </row>
    <row r="8" spans="1:13" x14ac:dyDescent="0.35">
      <c r="A8" s="150" t="s">
        <v>562</v>
      </c>
      <c r="B8" s="150"/>
      <c r="C8" s="170"/>
      <c r="D8" s="141">
        <v>0</v>
      </c>
      <c r="E8" s="141">
        <v>-30180</v>
      </c>
      <c r="F8" s="141">
        <f t="shared" si="1"/>
        <v>-3353.3333333333335</v>
      </c>
      <c r="G8" s="155"/>
      <c r="H8" s="141"/>
      <c r="I8" s="198">
        <v>-241410</v>
      </c>
      <c r="J8" s="156">
        <f t="shared" si="0"/>
        <v>-20117.5</v>
      </c>
      <c r="K8" s="199" t="s">
        <v>572</v>
      </c>
    </row>
    <row r="9" spans="1:13" hidden="1" x14ac:dyDescent="0.35">
      <c r="A9" s="150" t="s">
        <v>386</v>
      </c>
      <c r="B9" s="150">
        <v>3</v>
      </c>
      <c r="C9" s="170">
        <v>-39972.666666666672</v>
      </c>
      <c r="D9" s="141">
        <v>0</v>
      </c>
      <c r="E9" s="141">
        <f t="shared" ref="E9" si="2">D9/12</f>
        <v>0</v>
      </c>
      <c r="F9" s="141">
        <f t="shared" si="1"/>
        <v>0</v>
      </c>
      <c r="G9" s="155">
        <f>D9*$M$6</f>
        <v>0</v>
      </c>
      <c r="H9" s="141"/>
      <c r="I9" s="198">
        <f t="shared" ref="I9" si="3">D9+G9</f>
        <v>0</v>
      </c>
      <c r="J9" s="156">
        <f t="shared" si="0"/>
        <v>0</v>
      </c>
    </row>
    <row r="10" spans="1:13" x14ac:dyDescent="0.35">
      <c r="A10" s="150" t="s">
        <v>248</v>
      </c>
      <c r="B10" s="150">
        <v>3</v>
      </c>
      <c r="C10" s="170">
        <v>-11351.703333333335</v>
      </c>
      <c r="D10" s="141">
        <v>-5020</v>
      </c>
      <c r="E10" s="141">
        <v>-10581</v>
      </c>
      <c r="F10" s="141">
        <f t="shared" si="1"/>
        <v>-1175.6666666666667</v>
      </c>
      <c r="G10" s="155">
        <f>D10*$M$6</f>
        <v>-150.6</v>
      </c>
      <c r="H10" s="141"/>
      <c r="I10" s="198">
        <v>-4800</v>
      </c>
      <c r="J10" s="156">
        <f t="shared" si="0"/>
        <v>-400</v>
      </c>
      <c r="K10" s="199"/>
    </row>
    <row r="11" spans="1:13" x14ac:dyDescent="0.35">
      <c r="A11" s="150" t="s">
        <v>387</v>
      </c>
      <c r="B11" s="150">
        <v>3</v>
      </c>
      <c r="C11" s="175">
        <v>0</v>
      </c>
      <c r="D11" s="164">
        <v>-200</v>
      </c>
      <c r="E11" s="164">
        <v>0</v>
      </c>
      <c r="F11" s="164">
        <f>E11/9</f>
        <v>0</v>
      </c>
      <c r="G11" s="165">
        <f>D11*$M$6</f>
        <v>-6</v>
      </c>
      <c r="H11" s="141"/>
      <c r="I11" s="166">
        <v>-200</v>
      </c>
      <c r="J11" s="167">
        <f t="shared" si="0"/>
        <v>-16.666666666666668</v>
      </c>
    </row>
    <row r="12" spans="1:13" x14ac:dyDescent="0.35">
      <c r="A12" s="169" t="s">
        <v>81</v>
      </c>
      <c r="B12" s="150"/>
      <c r="C12" s="170">
        <f>SUM(C5:C11)</f>
        <v>-31822934.286666669</v>
      </c>
      <c r="D12" s="141">
        <f>SUM(D5:D11)</f>
        <v>-10482560</v>
      </c>
      <c r="E12" s="141">
        <f>SUM(E5:E11)</f>
        <v>-8384808</v>
      </c>
      <c r="F12" s="141">
        <f>SUM(F5:F11)</f>
        <v>-931645.33333333326</v>
      </c>
      <c r="G12" s="155">
        <f>SUM(G3:G11)</f>
        <v>-226.8</v>
      </c>
      <c r="H12" s="141"/>
      <c r="I12" s="155">
        <f>SUM(I5:I11)</f>
        <v>-11225890</v>
      </c>
      <c r="J12" s="156">
        <f>SUM(J3:J11)</f>
        <v>-935490.83333333337</v>
      </c>
    </row>
    <row r="13" spans="1:13" x14ac:dyDescent="0.35">
      <c r="A13" s="150"/>
      <c r="B13" s="150"/>
      <c r="C13" s="170"/>
      <c r="D13" s="141"/>
      <c r="E13" s="141"/>
      <c r="F13" s="141"/>
      <c r="G13" s="155"/>
      <c r="H13" s="141"/>
      <c r="I13" s="155"/>
      <c r="J13" s="156"/>
    </row>
    <row r="14" spans="1:13" x14ac:dyDescent="0.35">
      <c r="A14" s="150"/>
      <c r="B14" s="150"/>
      <c r="C14" s="170"/>
      <c r="D14" s="141"/>
      <c r="E14" s="141"/>
      <c r="F14" s="141"/>
      <c r="G14" s="155"/>
      <c r="H14" s="141"/>
      <c r="I14" s="155"/>
      <c r="J14" s="156"/>
      <c r="K14" s="178"/>
    </row>
    <row r="15" spans="1:13" x14ac:dyDescent="0.35">
      <c r="A15" s="150" t="s">
        <v>82</v>
      </c>
      <c r="B15" s="150"/>
      <c r="C15" s="170">
        <f>C41</f>
        <v>1811301.95</v>
      </c>
      <c r="D15" s="141">
        <f t="shared" ref="D15:E15" si="4">D41</f>
        <v>623420</v>
      </c>
      <c r="E15" s="141">
        <f t="shared" si="4"/>
        <v>477641</v>
      </c>
      <c r="F15" s="141">
        <f>E15/9</f>
        <v>53071.222222222219</v>
      </c>
      <c r="G15" s="155">
        <f>G41</f>
        <v>16432.899999999998</v>
      </c>
      <c r="H15" s="141"/>
      <c r="I15" s="155">
        <f>I41</f>
        <v>647260</v>
      </c>
      <c r="J15" s="156">
        <f>J41</f>
        <v>53938.333333333343</v>
      </c>
    </row>
    <row r="16" spans="1:13" x14ac:dyDescent="0.35">
      <c r="A16" s="150" t="s">
        <v>83</v>
      </c>
      <c r="B16" s="150"/>
      <c r="C16" s="170">
        <f>C49</f>
        <v>447483.27666666673</v>
      </c>
      <c r="D16" s="141">
        <f t="shared" ref="D16:E16" si="5">D49</f>
        <v>194429.8</v>
      </c>
      <c r="E16" s="141">
        <f t="shared" si="5"/>
        <v>129332</v>
      </c>
      <c r="F16" s="141">
        <f t="shared" ref="F16:F18" si="6">E16/9</f>
        <v>14370.222222222223</v>
      </c>
      <c r="G16" s="155">
        <f>G49</f>
        <v>204.89400000000001</v>
      </c>
      <c r="H16" s="141"/>
      <c r="I16" s="155">
        <f>I49</f>
        <v>206775</v>
      </c>
      <c r="J16" s="156">
        <f>J49</f>
        <v>17231.25</v>
      </c>
      <c r="K16" s="173"/>
    </row>
    <row r="17" spans="1:13" x14ac:dyDescent="0.35">
      <c r="A17" s="150" t="s">
        <v>388</v>
      </c>
      <c r="B17" s="150"/>
      <c r="C17" s="170">
        <f>C54</f>
        <v>30269456.326666668</v>
      </c>
      <c r="D17" s="141">
        <f t="shared" ref="D17:G17" si="7">D51</f>
        <v>9635000</v>
      </c>
      <c r="E17" s="141">
        <f t="shared" si="7"/>
        <v>7705303</v>
      </c>
      <c r="F17" s="141">
        <f t="shared" si="6"/>
        <v>856144.77777777775</v>
      </c>
      <c r="G17" s="155">
        <f t="shared" si="7"/>
        <v>0</v>
      </c>
      <c r="H17" s="141"/>
      <c r="I17" s="155">
        <f>I54</f>
        <v>10343890</v>
      </c>
      <c r="J17" s="156">
        <f>J54</f>
        <v>861990.83333333337</v>
      </c>
      <c r="K17" s="173"/>
    </row>
    <row r="18" spans="1:13" hidden="1" x14ac:dyDescent="0.35">
      <c r="A18" s="150" t="s">
        <v>426</v>
      </c>
      <c r="B18" s="150"/>
      <c r="C18" s="170"/>
      <c r="D18" s="141">
        <f>D53</f>
        <v>0</v>
      </c>
      <c r="E18" s="141">
        <f>E53</f>
        <v>0</v>
      </c>
      <c r="F18" s="141">
        <f t="shared" si="6"/>
        <v>0</v>
      </c>
      <c r="G18" s="155">
        <f>G53</f>
        <v>0</v>
      </c>
      <c r="H18" s="141"/>
      <c r="I18" s="155">
        <f>I53</f>
        <v>0</v>
      </c>
      <c r="J18" s="156">
        <f>J53</f>
        <v>0</v>
      </c>
      <c r="K18" s="173"/>
    </row>
    <row r="19" spans="1:13" x14ac:dyDescent="0.35">
      <c r="A19" s="150" t="s">
        <v>85</v>
      </c>
      <c r="B19" s="150"/>
      <c r="C19" s="175">
        <f t="shared" ref="C19:J19" si="8">C59</f>
        <v>1535</v>
      </c>
      <c r="D19" s="164">
        <f t="shared" si="8"/>
        <v>31500</v>
      </c>
      <c r="E19" s="164">
        <f t="shared" si="8"/>
        <v>31192</v>
      </c>
      <c r="F19" s="164">
        <f>E19/9</f>
        <v>3465.7777777777778</v>
      </c>
      <c r="G19" s="165">
        <f t="shared" si="8"/>
        <v>0</v>
      </c>
      <c r="H19" s="141"/>
      <c r="I19" s="165">
        <f t="shared" si="8"/>
        <v>30000</v>
      </c>
      <c r="J19" s="167">
        <f t="shared" si="8"/>
        <v>2500</v>
      </c>
      <c r="K19" s="178"/>
    </row>
    <row r="20" spans="1:13" x14ac:dyDescent="0.35">
      <c r="A20" s="150" t="s">
        <v>86</v>
      </c>
      <c r="B20" s="150"/>
      <c r="C20" s="179">
        <f t="shared" ref="C20:J20" si="9">SUM(C15:C19)</f>
        <v>32529776.553333335</v>
      </c>
      <c r="D20" s="200">
        <f t="shared" si="9"/>
        <v>10484349.800000001</v>
      </c>
      <c r="E20" s="200">
        <f t="shared" si="9"/>
        <v>8343468</v>
      </c>
      <c r="F20" s="164">
        <f>SUM(F15:F19)</f>
        <v>927052</v>
      </c>
      <c r="G20" s="165">
        <f t="shared" si="9"/>
        <v>16637.793999999998</v>
      </c>
      <c r="H20" s="141"/>
      <c r="I20" s="165">
        <f t="shared" si="9"/>
        <v>11227925</v>
      </c>
      <c r="J20" s="167">
        <f t="shared" si="9"/>
        <v>935660.41666666674</v>
      </c>
      <c r="K20" s="178"/>
    </row>
    <row r="21" spans="1:13" x14ac:dyDescent="0.35">
      <c r="A21" s="150"/>
      <c r="B21" s="150"/>
      <c r="C21" s="170"/>
      <c r="D21" s="141"/>
      <c r="E21" s="141"/>
      <c r="F21" s="141"/>
      <c r="G21" s="155"/>
      <c r="H21" s="141"/>
      <c r="I21" s="155"/>
      <c r="J21" s="156"/>
      <c r="K21" s="178"/>
    </row>
    <row r="22" spans="1:13" ht="21.75" thickBot="1" x14ac:dyDescent="0.4">
      <c r="A22" s="182" t="s">
        <v>87</v>
      </c>
      <c r="B22" s="183"/>
      <c r="C22" s="184">
        <f t="shared" ref="C22:G22" si="10">SUM(-C12-C20)</f>
        <v>-706842.26666666567</v>
      </c>
      <c r="D22" s="185">
        <f>SUM(D12+D20)</f>
        <v>1789.8000000007451</v>
      </c>
      <c r="E22" s="185">
        <f t="shared" ref="E22:F22" si="11">SUM(E12+E20)</f>
        <v>-41340</v>
      </c>
      <c r="F22" s="185">
        <f t="shared" si="11"/>
        <v>-4593.3333333332557</v>
      </c>
      <c r="G22" s="186">
        <f t="shared" si="10"/>
        <v>-16410.993999999999</v>
      </c>
      <c r="H22" s="141"/>
      <c r="I22" s="186">
        <f>SUM(I12+I20)</f>
        <v>2035</v>
      </c>
      <c r="J22" s="187">
        <f>SUM(J12+J20)</f>
        <v>169.58333333337214</v>
      </c>
      <c r="K22" s="178"/>
    </row>
    <row r="23" spans="1:13" x14ac:dyDescent="0.35">
      <c r="A23" s="169"/>
      <c r="B23" s="150"/>
      <c r="C23" s="170"/>
      <c r="D23" s="170"/>
      <c r="E23" s="170"/>
      <c r="F23" s="170"/>
      <c r="G23" s="171"/>
      <c r="H23" s="170"/>
      <c r="I23" s="171"/>
      <c r="J23" s="172"/>
      <c r="K23" s="178"/>
    </row>
    <row r="24" spans="1:13" x14ac:dyDescent="0.35">
      <c r="A24" s="150" t="s">
        <v>38</v>
      </c>
      <c r="B24" s="150">
        <v>3</v>
      </c>
      <c r="C24" s="170">
        <f>3107-2815</f>
        <v>292</v>
      </c>
      <c r="D24" s="170">
        <v>100</v>
      </c>
      <c r="E24" s="170">
        <v>64</v>
      </c>
      <c r="F24" s="170">
        <f>E24/9</f>
        <v>7.1111111111111107</v>
      </c>
      <c r="G24" s="171">
        <f t="shared" ref="G24:G36" si="12">D24*$M$6</f>
        <v>3</v>
      </c>
      <c r="H24" s="170"/>
      <c r="I24" s="171">
        <v>100</v>
      </c>
      <c r="J24" s="172">
        <f t="shared" ref="J24:J40" si="13">I24/12</f>
        <v>8.3333333333333339</v>
      </c>
      <c r="L24" s="134">
        <f>SUM((E24+(F24*3))*1.03)</f>
        <v>87.893333333333331</v>
      </c>
    </row>
    <row r="25" spans="1:13" x14ac:dyDescent="0.35">
      <c r="A25" s="150" t="s">
        <v>39</v>
      </c>
      <c r="B25" s="150">
        <v>3</v>
      </c>
      <c r="C25" s="170">
        <f>1454870.73-147685</f>
        <v>1307185.73</v>
      </c>
      <c r="D25" s="170">
        <v>479790</v>
      </c>
      <c r="E25" s="170">
        <v>380638</v>
      </c>
      <c r="F25" s="170">
        <f t="shared" ref="F25:F39" si="14">E25/9</f>
        <v>42293.111111111109</v>
      </c>
      <c r="G25" s="171">
        <f t="shared" si="12"/>
        <v>14393.699999999999</v>
      </c>
      <c r="H25" s="170"/>
      <c r="I25" s="171">
        <f>M25+14040</f>
        <v>482040</v>
      </c>
      <c r="J25" s="172">
        <f t="shared" si="13"/>
        <v>40170</v>
      </c>
      <c r="K25" s="173"/>
      <c r="L25" s="134">
        <f t="shared" ref="L25:L40" si="15">SUM((E25+(F25*3))*1.03)</f>
        <v>522742.85333333333</v>
      </c>
      <c r="M25" s="134">
        <v>468000</v>
      </c>
    </row>
    <row r="26" spans="1:13" x14ac:dyDescent="0.35">
      <c r="A26" s="150" t="s">
        <v>332</v>
      </c>
      <c r="B26" s="150">
        <v>3</v>
      </c>
      <c r="C26" s="170">
        <f>82948.43+8333</f>
        <v>91281.43</v>
      </c>
      <c r="D26" s="170">
        <v>29340</v>
      </c>
      <c r="E26" s="170">
        <v>20709</v>
      </c>
      <c r="F26" s="170">
        <f t="shared" si="14"/>
        <v>2301</v>
      </c>
      <c r="G26" s="171">
        <f t="shared" si="12"/>
        <v>880.19999999999993</v>
      </c>
      <c r="H26" s="170"/>
      <c r="I26" s="171">
        <v>29340</v>
      </c>
      <c r="J26" s="172">
        <f t="shared" si="13"/>
        <v>2445</v>
      </c>
      <c r="L26" s="134">
        <f t="shared" si="15"/>
        <v>28440.36</v>
      </c>
    </row>
    <row r="27" spans="1:13" x14ac:dyDescent="0.35">
      <c r="A27" s="150" t="s">
        <v>41</v>
      </c>
      <c r="B27" s="150">
        <v>3</v>
      </c>
      <c r="C27" s="170">
        <f>33880.19+4041</f>
        <v>37921.19</v>
      </c>
      <c r="D27" s="170">
        <v>13460</v>
      </c>
      <c r="E27" s="170">
        <v>10340</v>
      </c>
      <c r="F27" s="170">
        <f t="shared" si="14"/>
        <v>1148.8888888888889</v>
      </c>
      <c r="G27" s="171">
        <f t="shared" si="12"/>
        <v>403.8</v>
      </c>
      <c r="H27" s="170"/>
      <c r="I27" s="171">
        <v>14200</v>
      </c>
      <c r="J27" s="172">
        <f t="shared" si="13"/>
        <v>1183.3333333333333</v>
      </c>
      <c r="L27" s="134">
        <f t="shared" si="15"/>
        <v>14200.266666666668</v>
      </c>
    </row>
    <row r="28" spans="1:13" x14ac:dyDescent="0.35">
      <c r="A28" s="150" t="s">
        <v>251</v>
      </c>
      <c r="B28" s="150">
        <v>3</v>
      </c>
      <c r="C28" s="170">
        <f>61+230</f>
        <v>291</v>
      </c>
      <c r="D28" s="170">
        <v>100</v>
      </c>
      <c r="E28" s="170">
        <v>0</v>
      </c>
      <c r="F28" s="170">
        <f t="shared" si="14"/>
        <v>0</v>
      </c>
      <c r="G28" s="171">
        <v>46</v>
      </c>
      <c r="H28" s="170"/>
      <c r="I28" s="171">
        <v>100</v>
      </c>
      <c r="J28" s="172">
        <f t="shared" si="13"/>
        <v>8.3333333333333339</v>
      </c>
      <c r="L28" s="134">
        <f t="shared" si="15"/>
        <v>0</v>
      </c>
    </row>
    <row r="29" spans="1:13" x14ac:dyDescent="0.35">
      <c r="A29" s="150" t="s">
        <v>432</v>
      </c>
      <c r="B29" s="150">
        <v>3</v>
      </c>
      <c r="C29" s="170">
        <f>2312.37+4533</f>
        <v>6845.37</v>
      </c>
      <c r="D29" s="170">
        <v>2350</v>
      </c>
      <c r="E29" s="170">
        <v>2557</v>
      </c>
      <c r="F29" s="170">
        <f t="shared" si="14"/>
        <v>284.11111111111109</v>
      </c>
      <c r="G29" s="171">
        <f t="shared" si="12"/>
        <v>70.5</v>
      </c>
      <c r="H29" s="170"/>
      <c r="I29" s="171">
        <v>3510</v>
      </c>
      <c r="J29" s="172">
        <f t="shared" si="13"/>
        <v>292.5</v>
      </c>
      <c r="L29" s="134">
        <f t="shared" si="15"/>
        <v>3511.6133333333332</v>
      </c>
    </row>
    <row r="30" spans="1:13" x14ac:dyDescent="0.35">
      <c r="A30" s="150" t="s">
        <v>304</v>
      </c>
      <c r="B30" s="150">
        <v>3</v>
      </c>
      <c r="C30" s="170">
        <f>173+497</f>
        <v>670</v>
      </c>
      <c r="D30" s="170">
        <v>230</v>
      </c>
      <c r="E30" s="170">
        <v>0</v>
      </c>
      <c r="F30" s="170">
        <f t="shared" si="14"/>
        <v>0</v>
      </c>
      <c r="G30" s="171">
        <f t="shared" si="12"/>
        <v>6.8999999999999995</v>
      </c>
      <c r="H30" s="170"/>
      <c r="I30" s="171">
        <v>230</v>
      </c>
      <c r="J30" s="172">
        <f t="shared" si="13"/>
        <v>19.166666666666668</v>
      </c>
      <c r="L30" s="134">
        <f t="shared" si="15"/>
        <v>0</v>
      </c>
    </row>
    <row r="31" spans="1:13" x14ac:dyDescent="0.35">
      <c r="A31" s="150" t="s">
        <v>563</v>
      </c>
      <c r="B31" s="150">
        <v>3</v>
      </c>
      <c r="C31" s="170">
        <f>2434+4789</f>
        <v>7223</v>
      </c>
      <c r="D31" s="170">
        <v>2000</v>
      </c>
      <c r="E31" s="170">
        <v>0</v>
      </c>
      <c r="F31" s="170">
        <f t="shared" si="14"/>
        <v>0</v>
      </c>
      <c r="G31" s="171">
        <f t="shared" si="12"/>
        <v>60</v>
      </c>
      <c r="H31" s="170"/>
      <c r="I31" s="171">
        <v>3000</v>
      </c>
      <c r="J31" s="172">
        <f t="shared" si="13"/>
        <v>250</v>
      </c>
      <c r="K31" s="199" t="s">
        <v>578</v>
      </c>
      <c r="L31" s="134">
        <f t="shared" si="15"/>
        <v>0</v>
      </c>
    </row>
    <row r="32" spans="1:13" x14ac:dyDescent="0.35">
      <c r="A32" s="150" t="s">
        <v>253</v>
      </c>
      <c r="B32" s="150">
        <v>3</v>
      </c>
      <c r="C32" s="170">
        <f>34414.62+6653</f>
        <v>41067.620000000003</v>
      </c>
      <c r="D32" s="170">
        <v>2480</v>
      </c>
      <c r="E32" s="170">
        <v>7685</v>
      </c>
      <c r="F32" s="170">
        <f t="shared" si="14"/>
        <v>853.88888888888891</v>
      </c>
      <c r="G32" s="171">
        <f t="shared" si="12"/>
        <v>74.399999999999991</v>
      </c>
      <c r="H32" s="170"/>
      <c r="I32" s="171">
        <v>4960</v>
      </c>
      <c r="J32" s="172">
        <f t="shared" si="13"/>
        <v>413.33333333333331</v>
      </c>
      <c r="L32" s="134">
        <f t="shared" si="15"/>
        <v>10554.066666666668</v>
      </c>
    </row>
    <row r="33" spans="1:13" x14ac:dyDescent="0.35">
      <c r="A33" s="150" t="s">
        <v>389</v>
      </c>
      <c r="B33" s="150">
        <v>3</v>
      </c>
      <c r="C33" s="170">
        <f>32173.08-14871</f>
        <v>17302.080000000002</v>
      </c>
      <c r="D33" s="170">
        <v>5940</v>
      </c>
      <c r="E33" s="170">
        <v>4107</v>
      </c>
      <c r="F33" s="170">
        <f t="shared" si="14"/>
        <v>456.33333333333331</v>
      </c>
      <c r="G33" s="171">
        <f t="shared" si="12"/>
        <v>178.2</v>
      </c>
      <c r="H33" s="170"/>
      <c r="I33" s="171">
        <v>5640</v>
      </c>
      <c r="J33" s="172">
        <f t="shared" si="13"/>
        <v>470</v>
      </c>
      <c r="L33" s="134">
        <f t="shared" si="15"/>
        <v>5640.28</v>
      </c>
    </row>
    <row r="34" spans="1:13" x14ac:dyDescent="0.35">
      <c r="A34" s="150" t="s">
        <v>44</v>
      </c>
      <c r="B34" s="150">
        <v>3</v>
      </c>
      <c r="C34" s="170">
        <v>15233</v>
      </c>
      <c r="D34" s="170">
        <v>5230</v>
      </c>
      <c r="E34" s="170">
        <v>1377</v>
      </c>
      <c r="F34" s="170">
        <f t="shared" si="14"/>
        <v>153</v>
      </c>
      <c r="G34" s="171">
        <f t="shared" si="12"/>
        <v>156.9</v>
      </c>
      <c r="H34" s="170"/>
      <c r="I34" s="171">
        <v>1890</v>
      </c>
      <c r="J34" s="172">
        <f t="shared" si="13"/>
        <v>157.5</v>
      </c>
      <c r="L34" s="134">
        <f t="shared" si="15"/>
        <v>1891.0800000000002</v>
      </c>
    </row>
    <row r="35" spans="1:13" x14ac:dyDescent="0.35">
      <c r="A35" s="150" t="s">
        <v>337</v>
      </c>
      <c r="B35" s="150">
        <v>3</v>
      </c>
      <c r="C35" s="170">
        <f>6915.9+6073</f>
        <v>12988.9</v>
      </c>
      <c r="D35" s="170">
        <v>2950</v>
      </c>
      <c r="E35" s="170">
        <v>1491</v>
      </c>
      <c r="F35" s="170">
        <f t="shared" si="14"/>
        <v>165.66666666666666</v>
      </c>
      <c r="G35" s="171">
        <f t="shared" si="12"/>
        <v>88.5</v>
      </c>
      <c r="H35" s="170"/>
      <c r="I35" s="171">
        <v>2050</v>
      </c>
      <c r="J35" s="172">
        <f t="shared" si="13"/>
        <v>170.83333333333334</v>
      </c>
      <c r="L35" s="134">
        <f t="shared" si="15"/>
        <v>2047.64</v>
      </c>
    </row>
    <row r="36" spans="1:13" x14ac:dyDescent="0.35">
      <c r="A36" s="150" t="s">
        <v>338</v>
      </c>
      <c r="B36" s="150">
        <v>3</v>
      </c>
      <c r="C36" s="170">
        <f>6875.63-61</f>
        <v>6814.63</v>
      </c>
      <c r="D36" s="170">
        <v>2360</v>
      </c>
      <c r="E36" s="170">
        <v>1929</v>
      </c>
      <c r="F36" s="170">
        <f t="shared" si="14"/>
        <v>214.33333333333334</v>
      </c>
      <c r="G36" s="171">
        <f t="shared" si="12"/>
        <v>70.8</v>
      </c>
      <c r="H36" s="170"/>
      <c r="I36" s="171">
        <v>2650</v>
      </c>
      <c r="J36" s="172">
        <f t="shared" si="13"/>
        <v>220.83333333333334</v>
      </c>
      <c r="L36" s="134">
        <f t="shared" si="15"/>
        <v>2649.16</v>
      </c>
    </row>
    <row r="37" spans="1:13" ht="42" x14ac:dyDescent="0.35">
      <c r="A37" s="150" t="s">
        <v>278</v>
      </c>
      <c r="B37" s="150">
        <v>3</v>
      </c>
      <c r="C37" s="170">
        <f>71486.31-7903</f>
        <v>63583.31</v>
      </c>
      <c r="D37" s="170">
        <v>21830</v>
      </c>
      <c r="E37" s="170">
        <v>23107</v>
      </c>
      <c r="F37" s="170">
        <f t="shared" si="14"/>
        <v>2567.4444444444443</v>
      </c>
      <c r="G37" s="171">
        <v>0</v>
      </c>
      <c r="H37" s="170"/>
      <c r="I37" s="171">
        <v>33730</v>
      </c>
      <c r="J37" s="172">
        <f t="shared" si="13"/>
        <v>2810.8333333333335</v>
      </c>
      <c r="K37" s="173" t="s">
        <v>650</v>
      </c>
      <c r="L37" s="134">
        <f t="shared" si="15"/>
        <v>31733.613333333335</v>
      </c>
    </row>
    <row r="38" spans="1:13" x14ac:dyDescent="0.35">
      <c r="A38" s="150" t="s">
        <v>390</v>
      </c>
      <c r="B38" s="150">
        <v>3</v>
      </c>
      <c r="C38" s="170">
        <f>48606-31189</f>
        <v>17417</v>
      </c>
      <c r="D38" s="170">
        <v>5980</v>
      </c>
      <c r="E38" s="170">
        <v>4017</v>
      </c>
      <c r="F38" s="170">
        <f t="shared" si="14"/>
        <v>446.33333333333331</v>
      </c>
      <c r="G38" s="171">
        <v>0</v>
      </c>
      <c r="H38" s="170"/>
      <c r="I38" s="171">
        <v>5520</v>
      </c>
      <c r="J38" s="172">
        <f t="shared" si="13"/>
        <v>460</v>
      </c>
      <c r="K38" s="199" t="s">
        <v>651</v>
      </c>
      <c r="L38" s="134">
        <f t="shared" si="15"/>
        <v>5516.68</v>
      </c>
    </row>
    <row r="39" spans="1:13" x14ac:dyDescent="0.35">
      <c r="A39" s="150" t="s">
        <v>46</v>
      </c>
      <c r="B39" s="150">
        <v>3</v>
      </c>
      <c r="C39" s="170">
        <f>20660.03-2019</f>
        <v>18641.03</v>
      </c>
      <c r="D39" s="170">
        <v>6400</v>
      </c>
      <c r="E39" s="170">
        <v>6045</v>
      </c>
      <c r="F39" s="170">
        <f t="shared" si="14"/>
        <v>671.66666666666663</v>
      </c>
      <c r="G39" s="171">
        <v>0</v>
      </c>
      <c r="H39" s="170"/>
      <c r="I39" s="171">
        <v>8300</v>
      </c>
      <c r="J39" s="172">
        <f t="shared" si="13"/>
        <v>691.66666666666663</v>
      </c>
      <c r="K39" s="173" t="s">
        <v>573</v>
      </c>
      <c r="L39" s="134">
        <f t="shared" si="15"/>
        <v>8301.8000000000011</v>
      </c>
    </row>
    <row r="40" spans="1:13" x14ac:dyDescent="0.35">
      <c r="A40" s="150" t="s">
        <v>391</v>
      </c>
      <c r="B40" s="150">
        <v>3</v>
      </c>
      <c r="C40" s="175">
        <f>195211.66-28667</f>
        <v>166544.66</v>
      </c>
      <c r="D40" s="175">
        <v>42880</v>
      </c>
      <c r="E40" s="175">
        <v>13575</v>
      </c>
      <c r="F40" s="175">
        <f>E40/9</f>
        <v>1508.3333333333333</v>
      </c>
      <c r="G40" s="176">
        <v>0</v>
      </c>
      <c r="H40" s="141"/>
      <c r="I40" s="176">
        <v>50000</v>
      </c>
      <c r="J40" s="177">
        <f t="shared" si="13"/>
        <v>4166.666666666667</v>
      </c>
      <c r="K40" s="173" t="s">
        <v>577</v>
      </c>
      <c r="L40" s="134">
        <f t="shared" si="15"/>
        <v>18643</v>
      </c>
    </row>
    <row r="41" spans="1:13" x14ac:dyDescent="0.35">
      <c r="A41" s="169" t="s">
        <v>88</v>
      </c>
      <c r="B41" s="150"/>
      <c r="C41" s="170">
        <f t="shared" ref="C41:J41" si="16">SUM(C24:C40)</f>
        <v>1811301.95</v>
      </c>
      <c r="D41" s="170">
        <f t="shared" si="16"/>
        <v>623420</v>
      </c>
      <c r="E41" s="170">
        <f t="shared" si="16"/>
        <v>477641</v>
      </c>
      <c r="F41" s="170">
        <f>SUM(F24:F40)</f>
        <v>53071.222222222226</v>
      </c>
      <c r="G41" s="171">
        <f t="shared" si="16"/>
        <v>16432.899999999998</v>
      </c>
      <c r="H41" s="141"/>
      <c r="I41" s="171">
        <f t="shared" si="16"/>
        <v>647260</v>
      </c>
      <c r="J41" s="172">
        <f t="shared" si="16"/>
        <v>53938.333333333343</v>
      </c>
    </row>
    <row r="42" spans="1:13" x14ac:dyDescent="0.35">
      <c r="A42" s="150"/>
      <c r="B42" s="150"/>
      <c r="C42" s="170"/>
      <c r="D42" s="170"/>
      <c r="E42" s="170"/>
      <c r="F42" s="170"/>
      <c r="G42" s="171"/>
      <c r="H42" s="170"/>
      <c r="I42" s="171"/>
      <c r="J42" s="172"/>
    </row>
    <row r="43" spans="1:13" x14ac:dyDescent="0.35">
      <c r="A43" s="150" t="s">
        <v>42</v>
      </c>
      <c r="B43" s="150">
        <v>3</v>
      </c>
      <c r="C43" s="170">
        <f>65998.21+29869</f>
        <v>95867.21</v>
      </c>
      <c r="D43" s="170">
        <v>36700</v>
      </c>
      <c r="E43" s="170">
        <v>29165</v>
      </c>
      <c r="F43" s="170">
        <f>E43/9</f>
        <v>3240.5555555555557</v>
      </c>
      <c r="G43" s="171">
        <v>0</v>
      </c>
      <c r="H43" s="170"/>
      <c r="I43" s="171">
        <v>36880</v>
      </c>
      <c r="J43" s="172">
        <f>I43/12</f>
        <v>3073.3333333333335</v>
      </c>
      <c r="K43" s="199" t="s">
        <v>428</v>
      </c>
      <c r="L43" s="134">
        <f>SUM(I25)*7.65%</f>
        <v>36876.06</v>
      </c>
      <c r="M43" s="199">
        <v>7.6499999999999999E-2</v>
      </c>
    </row>
    <row r="44" spans="1:13" x14ac:dyDescent="0.35">
      <c r="A44" s="150" t="s">
        <v>59</v>
      </c>
      <c r="B44" s="150">
        <v>3</v>
      </c>
      <c r="C44" s="170">
        <f>435150.46-124697</f>
        <v>310453.46000000002</v>
      </c>
      <c r="D44" s="170">
        <v>143940</v>
      </c>
      <c r="E44" s="170">
        <v>81625</v>
      </c>
      <c r="F44" s="170">
        <f t="shared" ref="F44:F47" si="17">E44/9</f>
        <v>9069.4444444444453</v>
      </c>
      <c r="G44" s="171">
        <v>0</v>
      </c>
      <c r="H44" s="170"/>
      <c r="I44" s="171">
        <v>144610</v>
      </c>
      <c r="J44" s="172">
        <f t="shared" ref="J44:J48" si="18">I44/12</f>
        <v>12050.833333333334</v>
      </c>
      <c r="K44" s="199" t="s">
        <v>429</v>
      </c>
      <c r="L44" s="134">
        <f>I25*0.3</f>
        <v>144612</v>
      </c>
      <c r="M44" s="188">
        <v>0.3</v>
      </c>
    </row>
    <row r="45" spans="1:13" x14ac:dyDescent="0.35">
      <c r="A45" s="150" t="s">
        <v>558</v>
      </c>
      <c r="B45" s="150"/>
      <c r="C45" s="170"/>
      <c r="D45" s="170">
        <v>0</v>
      </c>
      <c r="E45" s="170">
        <v>298</v>
      </c>
      <c r="F45" s="170">
        <f t="shared" si="17"/>
        <v>33.111111111111114</v>
      </c>
      <c r="G45" s="171"/>
      <c r="H45" s="170"/>
      <c r="I45" s="171">
        <v>410</v>
      </c>
      <c r="J45" s="172">
        <f t="shared" si="18"/>
        <v>34.166666666666664</v>
      </c>
      <c r="K45" s="199"/>
      <c r="L45" s="134">
        <f>SUM((E45+(F45*3))*1.04)</f>
        <v>413.22666666666674</v>
      </c>
      <c r="M45" s="188"/>
    </row>
    <row r="46" spans="1:13" x14ac:dyDescent="0.35">
      <c r="A46" s="150" t="s">
        <v>232</v>
      </c>
      <c r="B46" s="150">
        <v>3</v>
      </c>
      <c r="C46" s="170">
        <f>8909.12-2997</f>
        <v>5912.1200000000008</v>
      </c>
      <c r="D46" s="170">
        <v>2030</v>
      </c>
      <c r="E46" s="170">
        <v>10125</v>
      </c>
      <c r="F46" s="170">
        <f t="shared" si="17"/>
        <v>1125</v>
      </c>
      <c r="G46" s="171">
        <f>D46*$M$6</f>
        <v>60.9</v>
      </c>
      <c r="H46" s="170"/>
      <c r="I46" s="171">
        <v>13905</v>
      </c>
      <c r="J46" s="172">
        <f t="shared" si="18"/>
        <v>1158.75</v>
      </c>
      <c r="K46" s="189" t="s">
        <v>640</v>
      </c>
      <c r="M46" s="134">
        <f>SUM((E46+(F46*3))*1.03)</f>
        <v>13905</v>
      </c>
    </row>
    <row r="47" spans="1:13" x14ac:dyDescent="0.35">
      <c r="A47" s="150" t="s">
        <v>60</v>
      </c>
      <c r="B47" s="150">
        <v>3</v>
      </c>
      <c r="C47" s="170">
        <f>13221.65+3933</f>
        <v>17154.650000000001</v>
      </c>
      <c r="D47" s="170">
        <v>4799.8</v>
      </c>
      <c r="E47" s="170">
        <v>3609</v>
      </c>
      <c r="F47" s="170">
        <f t="shared" si="17"/>
        <v>401</v>
      </c>
      <c r="G47" s="171">
        <f>D47*$M$6</f>
        <v>143.994</v>
      </c>
      <c r="H47" s="170"/>
      <c r="I47" s="171">
        <v>4960</v>
      </c>
      <c r="J47" s="172">
        <f t="shared" si="18"/>
        <v>413.33333333333331</v>
      </c>
      <c r="L47" s="134">
        <f t="shared" ref="L47" si="19">SUM((E47+(F47*3))*1.03)</f>
        <v>4956.3600000000006</v>
      </c>
    </row>
    <row r="48" spans="1:13" x14ac:dyDescent="0.35">
      <c r="A48" s="150" t="s">
        <v>62</v>
      </c>
      <c r="B48" s="150">
        <v>3</v>
      </c>
      <c r="C48" s="175">
        <v>18095.836666666666</v>
      </c>
      <c r="D48" s="175">
        <v>6960</v>
      </c>
      <c r="E48" s="175">
        <v>4510</v>
      </c>
      <c r="F48" s="175">
        <f>E48/9</f>
        <v>501.11111111111109</v>
      </c>
      <c r="G48" s="176">
        <v>0</v>
      </c>
      <c r="H48" s="141"/>
      <c r="I48" s="176">
        <v>6010</v>
      </c>
      <c r="J48" s="177">
        <f t="shared" si="18"/>
        <v>500.83333333333331</v>
      </c>
      <c r="K48" s="173" t="s">
        <v>262</v>
      </c>
    </row>
    <row r="49" spans="1:12" x14ac:dyDescent="0.35">
      <c r="A49" s="169" t="s">
        <v>92</v>
      </c>
      <c r="B49" s="150"/>
      <c r="C49" s="170">
        <f t="shared" ref="C49:J49" si="20">SUM(C43:C48)</f>
        <v>447483.27666666673</v>
      </c>
      <c r="D49" s="170">
        <f t="shared" si="20"/>
        <v>194429.8</v>
      </c>
      <c r="E49" s="170">
        <f t="shared" si="20"/>
        <v>129332</v>
      </c>
      <c r="F49" s="170">
        <f>SUM(F43:F48)</f>
        <v>14370.222222222223</v>
      </c>
      <c r="G49" s="171">
        <f t="shared" si="20"/>
        <v>204.89400000000001</v>
      </c>
      <c r="H49" s="141"/>
      <c r="I49" s="171">
        <f>SUM(I43:I48)</f>
        <v>206775</v>
      </c>
      <c r="J49" s="172">
        <f t="shared" si="20"/>
        <v>17231.25</v>
      </c>
    </row>
    <row r="50" spans="1:12" x14ac:dyDescent="0.35">
      <c r="A50" s="150"/>
      <c r="B50" s="150"/>
      <c r="C50" s="170"/>
      <c r="D50" s="170"/>
      <c r="E50" s="170"/>
      <c r="F50" s="170"/>
      <c r="G50" s="171"/>
      <c r="H50" s="170"/>
      <c r="I50" s="171"/>
      <c r="J50" s="172"/>
    </row>
    <row r="51" spans="1:12" x14ac:dyDescent="0.35">
      <c r="A51" s="150" t="s">
        <v>392</v>
      </c>
      <c r="B51" s="150">
        <v>3</v>
      </c>
      <c r="C51" s="170">
        <v>29960978.530000001</v>
      </c>
      <c r="D51" s="170">
        <v>9635000</v>
      </c>
      <c r="E51" s="170">
        <v>7705303</v>
      </c>
      <c r="F51" s="170">
        <f>E51/9</f>
        <v>856144.77777777775</v>
      </c>
      <c r="G51" s="171">
        <v>0</v>
      </c>
      <c r="H51" s="170"/>
      <c r="I51" s="171">
        <v>10102480</v>
      </c>
      <c r="J51" s="172">
        <f t="shared" ref="J51:J53" si="21">I51/12</f>
        <v>841873.33333333337</v>
      </c>
    </row>
    <row r="52" spans="1:12" x14ac:dyDescent="0.35">
      <c r="A52" s="150" t="s">
        <v>575</v>
      </c>
      <c r="B52" s="150"/>
      <c r="C52" s="170"/>
      <c r="D52" s="175">
        <v>0</v>
      </c>
      <c r="E52" s="175">
        <v>0</v>
      </c>
      <c r="F52" s="175">
        <f t="shared" ref="F52" si="22">E52/9</f>
        <v>0</v>
      </c>
      <c r="G52" s="176"/>
      <c r="H52" s="141"/>
      <c r="I52" s="176">
        <v>241410</v>
      </c>
      <c r="J52" s="177">
        <f t="shared" si="21"/>
        <v>20117.5</v>
      </c>
    </row>
    <row r="53" spans="1:12" hidden="1" x14ac:dyDescent="0.35">
      <c r="A53" s="150" t="s">
        <v>393</v>
      </c>
      <c r="B53" s="150">
        <v>3</v>
      </c>
      <c r="C53" s="175">
        <v>308477.79666666663</v>
      </c>
      <c r="D53" s="175"/>
      <c r="E53" s="175">
        <v>0</v>
      </c>
      <c r="F53" s="175">
        <f t="shared" ref="F53" si="23">E53/9</f>
        <v>0</v>
      </c>
      <c r="G53" s="176">
        <v>0</v>
      </c>
      <c r="H53" s="141"/>
      <c r="I53" s="171">
        <f t="shared" ref="I53" si="24">D53+G53</f>
        <v>0</v>
      </c>
      <c r="J53" s="172">
        <f t="shared" si="21"/>
        <v>0</v>
      </c>
      <c r="L53" s="134">
        <f t="shared" ref="L53" si="25">SUM((E53+(F53*3))*1.03)</f>
        <v>0</v>
      </c>
    </row>
    <row r="54" spans="1:12" x14ac:dyDescent="0.35">
      <c r="A54" s="169" t="s">
        <v>394</v>
      </c>
      <c r="B54" s="150"/>
      <c r="C54" s="170">
        <f>SUM(C51:C53)</f>
        <v>30269456.326666668</v>
      </c>
      <c r="D54" s="170">
        <f t="shared" ref="D54:E54" si="26">SUM(D51:D53)</f>
        <v>9635000</v>
      </c>
      <c r="E54" s="170">
        <f t="shared" si="26"/>
        <v>7705303</v>
      </c>
      <c r="F54" s="170">
        <f>SUM(F51)</f>
        <v>856144.77777777775</v>
      </c>
      <c r="G54" s="171">
        <f>SUM(G51:G53)</f>
        <v>0</v>
      </c>
      <c r="H54" s="170"/>
      <c r="I54" s="171">
        <f>SUM(I51:I53)</f>
        <v>10343890</v>
      </c>
      <c r="J54" s="172">
        <f>SUM(J51:J53)</f>
        <v>861990.83333333337</v>
      </c>
    </row>
    <row r="55" spans="1:12" x14ac:dyDescent="0.35">
      <c r="A55" s="150"/>
      <c r="B55" s="150"/>
      <c r="C55" s="170"/>
      <c r="D55" s="170"/>
      <c r="E55" s="170"/>
      <c r="F55" s="170"/>
      <c r="G55" s="145"/>
      <c r="H55" s="201"/>
      <c r="I55" s="145"/>
      <c r="J55" s="139"/>
    </row>
    <row r="56" spans="1:12" x14ac:dyDescent="0.35">
      <c r="A56" s="150" t="s">
        <v>26</v>
      </c>
      <c r="B56" s="150"/>
      <c r="C56" s="170"/>
      <c r="D56" s="170">
        <v>500</v>
      </c>
      <c r="E56" s="170">
        <v>0</v>
      </c>
      <c r="F56" s="170">
        <f>E56/9</f>
        <v>0</v>
      </c>
      <c r="G56" s="145"/>
      <c r="H56" s="201"/>
      <c r="I56" s="171">
        <v>0</v>
      </c>
      <c r="J56" s="172">
        <f t="shared" ref="J56:J58" si="27">I56/12</f>
        <v>0</v>
      </c>
    </row>
    <row r="57" spans="1:12" x14ac:dyDescent="0.35">
      <c r="A57" s="150" t="s">
        <v>64</v>
      </c>
      <c r="B57" s="150">
        <v>3</v>
      </c>
      <c r="C57" s="170">
        <v>435</v>
      </c>
      <c r="D57" s="170">
        <v>1000</v>
      </c>
      <c r="E57" s="170">
        <v>605</v>
      </c>
      <c r="F57" s="170">
        <f>E57/9</f>
        <v>67.222222222222229</v>
      </c>
      <c r="G57" s="171">
        <v>0</v>
      </c>
      <c r="H57" s="170"/>
      <c r="I57" s="171">
        <v>0</v>
      </c>
      <c r="J57" s="172">
        <f t="shared" si="27"/>
        <v>0</v>
      </c>
      <c r="K57" s="134" t="s">
        <v>641</v>
      </c>
    </row>
    <row r="58" spans="1:12" x14ac:dyDescent="0.35">
      <c r="A58" s="150" t="s">
        <v>65</v>
      </c>
      <c r="B58" s="150">
        <v>3</v>
      </c>
      <c r="C58" s="170">
        <v>1100</v>
      </c>
      <c r="D58" s="175">
        <v>30000</v>
      </c>
      <c r="E58" s="175">
        <v>30587</v>
      </c>
      <c r="F58" s="175">
        <f>E58/9</f>
        <v>3398.5555555555557</v>
      </c>
      <c r="G58" s="176">
        <v>0</v>
      </c>
      <c r="H58" s="141"/>
      <c r="I58" s="176">
        <v>30000</v>
      </c>
      <c r="J58" s="177">
        <f t="shared" si="27"/>
        <v>2500</v>
      </c>
      <c r="K58" s="199" t="s">
        <v>596</v>
      </c>
    </row>
    <row r="59" spans="1:12" ht="21.75" thickBot="1" x14ac:dyDescent="0.4">
      <c r="A59" s="169" t="s">
        <v>320</v>
      </c>
      <c r="B59" s="150"/>
      <c r="C59" s="170">
        <f t="shared" ref="C59:J59" si="28">SUM(C57:C58)</f>
        <v>1535</v>
      </c>
      <c r="D59" s="170">
        <f>SUM(D56:D58)</f>
        <v>31500</v>
      </c>
      <c r="E59" s="170">
        <f t="shared" ref="E59:F59" si="29">SUM(E56:E58)</f>
        <v>31192</v>
      </c>
      <c r="F59" s="170">
        <f t="shared" si="29"/>
        <v>3465.7777777777778</v>
      </c>
      <c r="G59" s="190">
        <f t="shared" si="28"/>
        <v>0</v>
      </c>
      <c r="H59" s="141"/>
      <c r="I59" s="191">
        <f t="shared" si="28"/>
        <v>30000</v>
      </c>
      <c r="J59" s="192">
        <f t="shared" si="28"/>
        <v>2500</v>
      </c>
      <c r="K59" s="173"/>
    </row>
    <row r="60" spans="1:12" x14ac:dyDescent="0.35">
      <c r="A60" s="150"/>
      <c r="B60" s="150"/>
      <c r="C60" s="150"/>
      <c r="D60" s="150"/>
      <c r="E60" s="150"/>
      <c r="F60" s="150"/>
    </row>
    <row r="70" spans="6:14" x14ac:dyDescent="0.35">
      <c r="I70" s="202">
        <v>580</v>
      </c>
    </row>
    <row r="72" spans="6:14" x14ac:dyDescent="0.35">
      <c r="I72" s="134">
        <v>370</v>
      </c>
    </row>
    <row r="73" spans="6:14" x14ac:dyDescent="0.35">
      <c r="F73" s="134">
        <f>E73/9</f>
        <v>0</v>
      </c>
      <c r="I73" s="134">
        <v>8520</v>
      </c>
      <c r="N73" s="134">
        <f>SUM(I69)*7.65%</f>
        <v>0</v>
      </c>
    </row>
    <row r="74" spans="6:14" hidden="1" x14ac:dyDescent="0.35">
      <c r="F74" s="134">
        <f t="shared" ref="F74:F78" si="30">E74/9</f>
        <v>0</v>
      </c>
      <c r="I74" s="134">
        <v>0</v>
      </c>
    </row>
    <row r="75" spans="6:14" hidden="1" x14ac:dyDescent="0.35">
      <c r="F75" s="134">
        <f t="shared" si="30"/>
        <v>0</v>
      </c>
      <c r="I75" s="134">
        <v>0</v>
      </c>
      <c r="N75" s="134">
        <f>SUM(I69)*30%</f>
        <v>0</v>
      </c>
    </row>
    <row r="76" spans="6:14" x14ac:dyDescent="0.35">
      <c r="F76" s="134">
        <f t="shared" si="30"/>
        <v>0</v>
      </c>
      <c r="I76" s="134">
        <v>3370</v>
      </c>
      <c r="N76" s="134">
        <f>SUM((E76+(F76*3))*1.03)</f>
        <v>0</v>
      </c>
    </row>
    <row r="77" spans="6:14" x14ac:dyDescent="0.35">
      <c r="F77" s="134">
        <f t="shared" si="30"/>
        <v>0</v>
      </c>
    </row>
    <row r="78" spans="6:14" x14ac:dyDescent="0.35">
      <c r="F78" s="134">
        <f t="shared" si="30"/>
        <v>0</v>
      </c>
    </row>
    <row r="84" spans="9:9" x14ac:dyDescent="0.35">
      <c r="I84" s="134">
        <v>6460</v>
      </c>
    </row>
  </sheetData>
  <pageMargins left="0.7" right="0.28000000000000003" top="0.99" bottom="2.5299999999999998" header="0.3" footer="0.3"/>
  <pageSetup scale="4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2"/>
  <sheetViews>
    <sheetView zoomScale="80" zoomScaleNormal="80" workbookViewId="0">
      <pane xSplit="3" ySplit="4" topLeftCell="D41" activePane="bottomRight" state="frozen"/>
      <selection activeCell="I38" sqref="I38"/>
      <selection pane="topRight" activeCell="I38" sqref="I38"/>
      <selection pane="bottomLeft" activeCell="I38" sqref="I38"/>
      <selection pane="bottomRight" activeCell="A58" sqref="A58"/>
    </sheetView>
  </sheetViews>
  <sheetFormatPr defaultRowHeight="21" x14ac:dyDescent="0.35"/>
  <cols>
    <col min="1" max="1" width="55.42578125" style="134" bestFit="1" customWidth="1"/>
    <col min="2" max="2" width="9.140625" style="134" hidden="1" customWidth="1"/>
    <col min="3" max="3" width="11.7109375" style="134" hidden="1" customWidth="1"/>
    <col min="4" max="4" width="18.85546875" style="134" bestFit="1" customWidth="1"/>
    <col min="5" max="5" width="16.28515625" style="134" bestFit="1" customWidth="1"/>
    <col min="6" max="6" width="16.7109375" style="134" bestFit="1" customWidth="1"/>
    <col min="7" max="7" width="3.42578125" style="134" customWidth="1"/>
    <col min="8" max="8" width="0" style="134" hidden="1" customWidth="1"/>
    <col min="9" max="9" width="34.140625" style="134" customWidth="1"/>
    <col min="10" max="10" width="13.28515625" style="134" bestFit="1" customWidth="1"/>
    <col min="11" max="11" width="75.42578125" style="134" customWidth="1"/>
    <col min="12" max="12" width="12.140625" style="134" bestFit="1" customWidth="1"/>
    <col min="13" max="14" width="9.5703125" style="134" bestFit="1" customWidth="1"/>
    <col min="15" max="16384" width="9.140625" style="134"/>
  </cols>
  <sheetData>
    <row r="1" spans="1:14" x14ac:dyDescent="0.35">
      <c r="I1" s="135" t="str">
        <f>'Viking Sq'!I1</f>
        <v>Projected Annual Budget 2016</v>
      </c>
      <c r="J1" s="136"/>
      <c r="K1" s="158"/>
    </row>
    <row r="2" spans="1:14" x14ac:dyDescent="0.35">
      <c r="I2" s="138" t="s">
        <v>395</v>
      </c>
      <c r="J2" s="139"/>
      <c r="K2" s="173" t="s">
        <v>597</v>
      </c>
    </row>
    <row r="3" spans="1:14" ht="21.75" thickBot="1" x14ac:dyDescent="0.4">
      <c r="A3" s="36" t="s">
        <v>485</v>
      </c>
      <c r="D3" s="36"/>
      <c r="G3" s="141"/>
      <c r="I3" s="145"/>
      <c r="J3" s="139"/>
      <c r="K3" s="140"/>
    </row>
    <row r="4" spans="1:14" s="149" customFormat="1" ht="63.75" thickBot="1" x14ac:dyDescent="0.4">
      <c r="A4" s="143" t="s">
        <v>77</v>
      </c>
      <c r="B4" s="143" t="s">
        <v>78</v>
      </c>
      <c r="C4" s="143" t="s">
        <v>79</v>
      </c>
      <c r="D4" s="144" t="str">
        <f>'Viking Sq'!D4</f>
        <v>2015 Annual Budget</v>
      </c>
      <c r="E4" s="144" t="str">
        <f>'Viking Sq'!E4</f>
        <v>YTD Actual FY 2015 @ 9/30/15</v>
      </c>
      <c r="F4" s="144" t="str">
        <f>'Viking Sq'!F4</f>
        <v>FY 2015 - 9 month Avg</v>
      </c>
      <c r="G4" s="141"/>
      <c r="H4" s="203"/>
      <c r="I4" s="204" t="s">
        <v>430</v>
      </c>
      <c r="J4" s="147" t="s">
        <v>431</v>
      </c>
      <c r="K4" s="148"/>
      <c r="L4" s="201"/>
      <c r="M4" s="201"/>
    </row>
    <row r="5" spans="1:14" x14ac:dyDescent="0.35">
      <c r="A5" s="150" t="s">
        <v>33</v>
      </c>
      <c r="B5" s="150">
        <v>3</v>
      </c>
      <c r="C5" s="151">
        <v>-529501.75</v>
      </c>
      <c r="D5" s="141">
        <v>-194850</v>
      </c>
      <c r="E5" s="141">
        <v>-143100</v>
      </c>
      <c r="F5" s="141">
        <f>E5/9</f>
        <v>-15900</v>
      </c>
      <c r="G5" s="141"/>
      <c r="H5" s="155">
        <v>0</v>
      </c>
      <c r="I5" s="198">
        <v>-192230</v>
      </c>
      <c r="J5" s="156">
        <f>I5/12</f>
        <v>-16019.166666666666</v>
      </c>
      <c r="K5" s="205"/>
      <c r="L5" s="206">
        <f>SUM(E5)+(F5*3)*1.03</f>
        <v>-192231</v>
      </c>
      <c r="N5" s="36" t="s">
        <v>80</v>
      </c>
    </row>
    <row r="6" spans="1:14" x14ac:dyDescent="0.35">
      <c r="A6" s="150" t="s">
        <v>328</v>
      </c>
      <c r="B6" s="150">
        <v>3</v>
      </c>
      <c r="C6" s="151">
        <v>-943894</v>
      </c>
      <c r="D6" s="141">
        <v>-357410</v>
      </c>
      <c r="E6" s="141">
        <v>-276024</v>
      </c>
      <c r="F6" s="141">
        <f t="shared" ref="F6:F10" si="0">E6/9</f>
        <v>-30669.333333333332</v>
      </c>
      <c r="G6" s="141"/>
      <c r="H6" s="155">
        <v>0</v>
      </c>
      <c r="I6" s="198">
        <v>-370790</v>
      </c>
      <c r="J6" s="156">
        <f t="shared" ref="J6:J11" si="1">I6/12</f>
        <v>-30899.166666666668</v>
      </c>
      <c r="L6" s="206">
        <f t="shared" ref="L6:L11" si="2">SUM(E6)+(F6*3)*1.03</f>
        <v>-370792.24</v>
      </c>
      <c r="N6" s="158">
        <v>0.05</v>
      </c>
    </row>
    <row r="7" spans="1:14" x14ac:dyDescent="0.35">
      <c r="A7" s="150" t="s">
        <v>34</v>
      </c>
      <c r="B7" s="150">
        <v>3</v>
      </c>
      <c r="C7" s="151">
        <f>26538.3-5333</f>
        <v>21205.3</v>
      </c>
      <c r="D7" s="141">
        <v>3900</v>
      </c>
      <c r="E7" s="141">
        <v>2445</v>
      </c>
      <c r="F7" s="141">
        <f t="shared" si="0"/>
        <v>271.66666666666669</v>
      </c>
      <c r="G7" s="141"/>
      <c r="H7" s="155">
        <f>D7*$N$8</f>
        <v>117</v>
      </c>
      <c r="I7" s="198">
        <v>3840</v>
      </c>
      <c r="J7" s="156">
        <f t="shared" si="1"/>
        <v>320</v>
      </c>
      <c r="K7" s="173" t="s">
        <v>555</v>
      </c>
      <c r="L7" s="206">
        <f>SUM(I5)*0.02</f>
        <v>-3844.6</v>
      </c>
      <c r="N7" s="36" t="s">
        <v>396</v>
      </c>
    </row>
    <row r="8" spans="1:14" x14ac:dyDescent="0.35">
      <c r="A8" s="150" t="s">
        <v>35</v>
      </c>
      <c r="B8" s="150">
        <v>3</v>
      </c>
      <c r="C8" s="151">
        <f>-36-1275</f>
        <v>-1311</v>
      </c>
      <c r="D8" s="141">
        <v>-100</v>
      </c>
      <c r="E8" s="141">
        <f>-6-362</f>
        <v>-368</v>
      </c>
      <c r="F8" s="141">
        <f t="shared" si="0"/>
        <v>-40.888888888888886</v>
      </c>
      <c r="G8" s="141"/>
      <c r="H8" s="155">
        <f>D8*$N$8</f>
        <v>-3</v>
      </c>
      <c r="I8" s="198">
        <v>-500</v>
      </c>
      <c r="J8" s="156">
        <f t="shared" si="1"/>
        <v>-41.666666666666664</v>
      </c>
      <c r="L8" s="206">
        <f t="shared" si="2"/>
        <v>-494.34666666666669</v>
      </c>
      <c r="N8" s="158">
        <v>0.03</v>
      </c>
    </row>
    <row r="9" spans="1:14" x14ac:dyDescent="0.35">
      <c r="A9" s="150" t="s">
        <v>36</v>
      </c>
      <c r="B9" s="150">
        <v>3</v>
      </c>
      <c r="C9" s="151">
        <f>-9335.56+1733</f>
        <v>-7602.5599999999995</v>
      </c>
      <c r="D9" s="141">
        <v>-3759.5</v>
      </c>
      <c r="E9" s="141">
        <v>-2169</v>
      </c>
      <c r="F9" s="141">
        <f t="shared" si="0"/>
        <v>-241</v>
      </c>
      <c r="G9" s="141"/>
      <c r="H9" s="155">
        <f>D9*$N$8</f>
        <v>-112.785</v>
      </c>
      <c r="I9" s="198">
        <v>-2910</v>
      </c>
      <c r="J9" s="156">
        <f t="shared" si="1"/>
        <v>-242.5</v>
      </c>
      <c r="L9" s="206">
        <f t="shared" si="2"/>
        <v>-2913.69</v>
      </c>
    </row>
    <row r="10" spans="1:14" x14ac:dyDescent="0.35">
      <c r="A10" s="150" t="s">
        <v>37</v>
      </c>
      <c r="B10" s="150">
        <v>3</v>
      </c>
      <c r="C10" s="151">
        <v>-233</v>
      </c>
      <c r="D10" s="141">
        <v>-100</v>
      </c>
      <c r="E10" s="141">
        <v>-167</v>
      </c>
      <c r="F10" s="141">
        <f t="shared" si="0"/>
        <v>-18.555555555555557</v>
      </c>
      <c r="G10" s="141"/>
      <c r="H10" s="155">
        <f>D10*$N$8</f>
        <v>-3</v>
      </c>
      <c r="I10" s="198">
        <v>-200</v>
      </c>
      <c r="J10" s="156">
        <f t="shared" si="1"/>
        <v>-16.666666666666668</v>
      </c>
      <c r="L10" s="206">
        <f t="shared" si="2"/>
        <v>-224.33666666666667</v>
      </c>
    </row>
    <row r="11" spans="1:14" x14ac:dyDescent="0.35">
      <c r="A11" s="150" t="s">
        <v>290</v>
      </c>
      <c r="B11" s="150">
        <v>3</v>
      </c>
      <c r="C11" s="163">
        <f>-8292+2029</f>
        <v>-6263</v>
      </c>
      <c r="D11" s="164">
        <v>-480</v>
      </c>
      <c r="E11" s="164">
        <v>-1013</v>
      </c>
      <c r="F11" s="164">
        <f>E11/9</f>
        <v>-112.55555555555556</v>
      </c>
      <c r="G11" s="141"/>
      <c r="H11" s="165">
        <f>D11*$N$8</f>
        <v>-14.399999999999999</v>
      </c>
      <c r="I11" s="166">
        <v>-1360</v>
      </c>
      <c r="J11" s="167">
        <f t="shared" si="1"/>
        <v>-113.33333333333333</v>
      </c>
      <c r="L11" s="206">
        <f t="shared" si="2"/>
        <v>-1360.7966666666666</v>
      </c>
    </row>
    <row r="12" spans="1:14" x14ac:dyDescent="0.35">
      <c r="A12" s="169" t="s">
        <v>81</v>
      </c>
      <c r="B12" s="150"/>
      <c r="C12" s="170">
        <f t="shared" ref="C12:J12" si="3">SUM(C4:C11)</f>
        <v>-1467600.01</v>
      </c>
      <c r="D12" s="141">
        <f t="shared" si="3"/>
        <v>-552799.5</v>
      </c>
      <c r="E12" s="141">
        <f>SUM(E5:E11)</f>
        <v>-420396</v>
      </c>
      <c r="F12" s="141">
        <f>SUM(F5:F11)</f>
        <v>-46710.666666666664</v>
      </c>
      <c r="G12" s="141"/>
      <c r="H12" s="155">
        <f t="shared" si="3"/>
        <v>-16.184999999999995</v>
      </c>
      <c r="I12" s="155">
        <f t="shared" si="3"/>
        <v>-564150</v>
      </c>
      <c r="J12" s="156">
        <f t="shared" si="3"/>
        <v>-47012.5</v>
      </c>
    </row>
    <row r="13" spans="1:14" ht="11.25" customHeight="1" x14ac:dyDescent="0.35">
      <c r="A13" s="150"/>
      <c r="B13" s="150"/>
      <c r="C13" s="170"/>
      <c r="D13" s="141"/>
      <c r="E13" s="141"/>
      <c r="F13" s="141"/>
      <c r="G13" s="141"/>
      <c r="H13" s="155"/>
      <c r="I13" s="155"/>
      <c r="J13" s="156"/>
    </row>
    <row r="14" spans="1:14" x14ac:dyDescent="0.35">
      <c r="A14" s="150" t="s">
        <v>82</v>
      </c>
      <c r="B14" s="150"/>
      <c r="C14" s="170">
        <f>C42</f>
        <v>384687.69999999995</v>
      </c>
      <c r="D14" s="141">
        <f t="shared" ref="D14:E14" si="4">D42</f>
        <v>113030</v>
      </c>
      <c r="E14" s="141">
        <f t="shared" si="4"/>
        <v>101197</v>
      </c>
      <c r="F14" s="141">
        <f>E14/9</f>
        <v>11244.111111111111</v>
      </c>
      <c r="G14" s="141"/>
      <c r="H14" s="155">
        <f>H42</f>
        <v>3977.3</v>
      </c>
      <c r="I14" s="155">
        <f>I42</f>
        <v>125310</v>
      </c>
      <c r="J14" s="156">
        <f>J42</f>
        <v>10442.499999999998</v>
      </c>
    </row>
    <row r="15" spans="1:14" x14ac:dyDescent="0.35">
      <c r="A15" s="150" t="s">
        <v>90</v>
      </c>
      <c r="B15" s="150"/>
      <c r="C15" s="170">
        <f t="shared" ref="C15:J15" si="5">C49</f>
        <v>132359.13</v>
      </c>
      <c r="D15" s="141">
        <f t="shared" si="5"/>
        <v>46790</v>
      </c>
      <c r="E15" s="141">
        <f t="shared" si="5"/>
        <v>28521</v>
      </c>
      <c r="F15" s="141">
        <f t="shared" ref="F15:F19" si="6">E15/9</f>
        <v>3169</v>
      </c>
      <c r="G15" s="141"/>
      <c r="H15" s="155">
        <f t="shared" si="5"/>
        <v>3005.7000000000003</v>
      </c>
      <c r="I15" s="155">
        <f t="shared" si="5"/>
        <v>39590</v>
      </c>
      <c r="J15" s="156">
        <f t="shared" si="5"/>
        <v>3299.1666666666665</v>
      </c>
      <c r="K15" s="173"/>
    </row>
    <row r="16" spans="1:14" x14ac:dyDescent="0.35">
      <c r="A16" s="150" t="s">
        <v>95</v>
      </c>
      <c r="B16" s="150"/>
      <c r="C16" s="170">
        <f>C67</f>
        <v>279758.26</v>
      </c>
      <c r="D16" s="141">
        <f t="shared" ref="D16:E16" si="7">D67</f>
        <v>82719.8</v>
      </c>
      <c r="E16" s="141">
        <f t="shared" si="7"/>
        <v>64947</v>
      </c>
      <c r="F16" s="141">
        <f t="shared" si="6"/>
        <v>7216.333333333333</v>
      </c>
      <c r="G16" s="141"/>
      <c r="H16" s="207">
        <f>H67</f>
        <v>2481.5939999999996</v>
      </c>
      <c r="I16" s="155">
        <f>I67</f>
        <v>118380</v>
      </c>
      <c r="J16" s="156">
        <f>J67</f>
        <v>9865</v>
      </c>
    </row>
    <row r="17" spans="1:12" x14ac:dyDescent="0.35">
      <c r="A17" s="150" t="s">
        <v>83</v>
      </c>
      <c r="B17" s="150"/>
      <c r="C17" s="170">
        <f>C79</f>
        <v>330903.68999999994</v>
      </c>
      <c r="D17" s="141">
        <f t="shared" ref="D17:E17" si="8">D79</f>
        <v>68600</v>
      </c>
      <c r="E17" s="141">
        <f t="shared" si="8"/>
        <v>53345</v>
      </c>
      <c r="F17" s="141">
        <f t="shared" si="6"/>
        <v>5927.2222222222226</v>
      </c>
      <c r="G17" s="141"/>
      <c r="H17" s="155" t="e">
        <f>H79</f>
        <v>#REF!</v>
      </c>
      <c r="I17" s="155">
        <f>I79</f>
        <v>80690</v>
      </c>
      <c r="J17" s="156">
        <f>J79</f>
        <v>6724.1666666666661</v>
      </c>
      <c r="K17" s="173"/>
    </row>
    <row r="18" spans="1:12" x14ac:dyDescent="0.35">
      <c r="A18" s="150" t="s">
        <v>302</v>
      </c>
      <c r="B18" s="150"/>
      <c r="C18" s="170">
        <f>C84</f>
        <v>452336.52</v>
      </c>
      <c r="D18" s="141">
        <f t="shared" ref="D18:E18" si="9">D84</f>
        <v>169630</v>
      </c>
      <c r="E18" s="141">
        <f t="shared" si="9"/>
        <v>141451</v>
      </c>
      <c r="F18" s="141">
        <f t="shared" si="6"/>
        <v>15716.777777777777</v>
      </c>
      <c r="G18" s="141"/>
      <c r="H18" s="155">
        <f>H84</f>
        <v>0</v>
      </c>
      <c r="I18" s="155">
        <f>I84</f>
        <v>169630</v>
      </c>
      <c r="J18" s="156">
        <f>J84</f>
        <v>14135.833333333334</v>
      </c>
      <c r="K18" s="173"/>
    </row>
    <row r="19" spans="1:12" x14ac:dyDescent="0.35">
      <c r="A19" s="150" t="s">
        <v>84</v>
      </c>
      <c r="B19" s="150"/>
      <c r="C19" s="170">
        <f>C88</f>
        <v>35806.879999999997</v>
      </c>
      <c r="D19" s="141">
        <f t="shared" ref="D19:E19" si="10">D88</f>
        <v>13020</v>
      </c>
      <c r="E19" s="141">
        <f t="shared" si="10"/>
        <v>9765</v>
      </c>
      <c r="F19" s="141">
        <f t="shared" si="6"/>
        <v>1085</v>
      </c>
      <c r="G19" s="141"/>
      <c r="H19" s="155">
        <f>H88</f>
        <v>0</v>
      </c>
      <c r="I19" s="155">
        <f>I88</f>
        <v>13020</v>
      </c>
      <c r="J19" s="156">
        <f>J88</f>
        <v>1085</v>
      </c>
      <c r="K19" s="178"/>
      <c r="L19" s="208"/>
    </row>
    <row r="20" spans="1:12" x14ac:dyDescent="0.35">
      <c r="A20" s="150" t="s">
        <v>85</v>
      </c>
      <c r="B20" s="150"/>
      <c r="C20" s="175">
        <f>C101</f>
        <v>56347.270000000004</v>
      </c>
      <c r="D20" s="164">
        <f t="shared" ref="D20:E20" si="11">D101</f>
        <v>44500</v>
      </c>
      <c r="E20" s="164">
        <f t="shared" si="11"/>
        <v>8594</v>
      </c>
      <c r="F20" s="164">
        <f>E20/9</f>
        <v>954.88888888888891</v>
      </c>
      <c r="G20" s="141"/>
      <c r="H20" s="165">
        <f>H101</f>
        <v>240</v>
      </c>
      <c r="I20" s="165">
        <f>I101</f>
        <v>21500</v>
      </c>
      <c r="J20" s="167">
        <f>J101</f>
        <v>1791.6666666666667</v>
      </c>
      <c r="K20" s="178"/>
    </row>
    <row r="21" spans="1:12" x14ac:dyDescent="0.35">
      <c r="A21" s="150" t="s">
        <v>86</v>
      </c>
      <c r="B21" s="150"/>
      <c r="C21" s="179">
        <f>SUM(C14:C20)</f>
        <v>1672199.4499999997</v>
      </c>
      <c r="D21" s="200">
        <f t="shared" ref="D21:F21" si="12">SUM(D14:D20)</f>
        <v>538289.80000000005</v>
      </c>
      <c r="E21" s="200">
        <f t="shared" si="12"/>
        <v>407820</v>
      </c>
      <c r="F21" s="200">
        <f t="shared" si="12"/>
        <v>45313.333333333336</v>
      </c>
      <c r="G21" s="141"/>
      <c r="H21" s="165" t="e">
        <f>SUM(H14:H20)</f>
        <v>#REF!</v>
      </c>
      <c r="I21" s="209">
        <f t="shared" ref="I21:J21" si="13">SUM(I14:I20)</f>
        <v>568120</v>
      </c>
      <c r="J21" s="210">
        <f t="shared" si="13"/>
        <v>47343.333333333328</v>
      </c>
      <c r="K21" s="178"/>
    </row>
    <row r="22" spans="1:12" x14ac:dyDescent="0.35">
      <c r="A22" s="150"/>
      <c r="B22" s="150"/>
      <c r="C22" s="170"/>
      <c r="D22" s="141"/>
      <c r="E22" s="141"/>
      <c r="F22" s="141"/>
      <c r="G22" s="141"/>
      <c r="H22" s="155"/>
      <c r="I22" s="155"/>
      <c r="J22" s="156"/>
      <c r="K22" s="178"/>
    </row>
    <row r="23" spans="1:12" ht="21.75" thickBot="1" x14ac:dyDescent="0.4">
      <c r="A23" s="182" t="s">
        <v>87</v>
      </c>
      <c r="B23" s="183"/>
      <c r="C23" s="184">
        <f>SUM(-C12-C21)</f>
        <v>-204599.43999999971</v>
      </c>
      <c r="D23" s="185">
        <f t="shared" ref="D23:F23" si="14">SUM(D12+D21)</f>
        <v>-14509.699999999953</v>
      </c>
      <c r="E23" s="185">
        <f t="shared" si="14"/>
        <v>-12576</v>
      </c>
      <c r="F23" s="185">
        <f t="shared" si="14"/>
        <v>-1397.3333333333285</v>
      </c>
      <c r="G23" s="141"/>
      <c r="H23" s="186" t="e">
        <f>SUM(-H12-H21)</f>
        <v>#REF!</v>
      </c>
      <c r="I23" s="186">
        <f t="shared" ref="I23:J23" si="15">SUM(I12+I21)</f>
        <v>3970</v>
      </c>
      <c r="J23" s="187">
        <f t="shared" si="15"/>
        <v>330.83333333332848</v>
      </c>
      <c r="K23" s="178"/>
    </row>
    <row r="24" spans="1:12" x14ac:dyDescent="0.35">
      <c r="A24" s="169" t="s">
        <v>454</v>
      </c>
      <c r="B24" s="150"/>
      <c r="C24" s="170"/>
      <c r="D24" s="141"/>
      <c r="E24" s="141"/>
      <c r="F24" s="141"/>
      <c r="G24" s="141"/>
      <c r="H24" s="155"/>
      <c r="I24" s="155"/>
      <c r="J24" s="156"/>
      <c r="K24" s="178"/>
    </row>
    <row r="25" spans="1:12" x14ac:dyDescent="0.35">
      <c r="A25" s="150" t="s">
        <v>38</v>
      </c>
      <c r="B25" s="211">
        <v>3</v>
      </c>
      <c r="C25" s="170">
        <f>SUM('[2]2014'!C9:E9)+18</f>
        <v>-29524.57</v>
      </c>
      <c r="D25" s="170">
        <v>100</v>
      </c>
      <c r="E25" s="170">
        <v>0</v>
      </c>
      <c r="F25" s="170">
        <f>E25/9</f>
        <v>0</v>
      </c>
      <c r="G25" s="170"/>
      <c r="H25" s="171">
        <v>0</v>
      </c>
      <c r="I25" s="171">
        <v>100</v>
      </c>
      <c r="J25" s="172">
        <f t="shared" ref="J25" si="16">I25/12</f>
        <v>8.3333333333333339</v>
      </c>
      <c r="K25" s="178"/>
      <c r="L25" s="134">
        <f t="shared" ref="L25:L41" si="17">SUM(E25)+(F25*3)*1.03</f>
        <v>0</v>
      </c>
    </row>
    <row r="26" spans="1:12" x14ac:dyDescent="0.35">
      <c r="A26" s="150" t="s">
        <v>39</v>
      </c>
      <c r="B26" s="150">
        <v>3</v>
      </c>
      <c r="C26" s="151">
        <f>60000+51523</f>
        <v>111523</v>
      </c>
      <c r="D26" s="212">
        <v>33330</v>
      </c>
      <c r="E26" s="170">
        <v>31665</v>
      </c>
      <c r="F26" s="170">
        <f t="shared" ref="F26:F40" si="18">E26/9</f>
        <v>3518.3333333333335</v>
      </c>
      <c r="G26" s="170"/>
      <c r="H26" s="155">
        <f>D26*$N$8</f>
        <v>999.9</v>
      </c>
      <c r="I26" s="155">
        <v>42540</v>
      </c>
      <c r="J26" s="156">
        <f t="shared" ref="J26:J92" si="19">I26/12</f>
        <v>3545</v>
      </c>
      <c r="L26" s="134">
        <f t="shared" si="17"/>
        <v>42536.65</v>
      </c>
    </row>
    <row r="27" spans="1:12" x14ac:dyDescent="0.35">
      <c r="A27" s="150" t="s">
        <v>40</v>
      </c>
      <c r="B27" s="150">
        <v>3</v>
      </c>
      <c r="C27" s="151">
        <f>10588.22-103</f>
        <v>10485.219999999999</v>
      </c>
      <c r="D27" s="141">
        <v>3600</v>
      </c>
      <c r="E27" s="170">
        <v>2524</v>
      </c>
      <c r="F27" s="170">
        <f t="shared" si="18"/>
        <v>280.44444444444446</v>
      </c>
      <c r="G27" s="170"/>
      <c r="H27" s="171">
        <f>D27*$N$8</f>
        <v>108</v>
      </c>
      <c r="I27" s="171">
        <v>3390</v>
      </c>
      <c r="J27" s="172">
        <f t="shared" si="19"/>
        <v>282.5</v>
      </c>
      <c r="L27" s="134">
        <f t="shared" si="17"/>
        <v>3390.5733333333333</v>
      </c>
    </row>
    <row r="28" spans="1:12" x14ac:dyDescent="0.35">
      <c r="A28" s="150" t="s">
        <v>323</v>
      </c>
      <c r="B28" s="150">
        <v>3</v>
      </c>
      <c r="C28" s="151">
        <v>815</v>
      </c>
      <c r="D28" s="141">
        <v>180</v>
      </c>
      <c r="E28" s="170">
        <v>172</v>
      </c>
      <c r="F28" s="170">
        <f t="shared" si="18"/>
        <v>19.111111111111111</v>
      </c>
      <c r="G28" s="170"/>
      <c r="H28" s="171">
        <f>D28*$N$8</f>
        <v>5.3999999999999995</v>
      </c>
      <c r="I28" s="171">
        <v>230</v>
      </c>
      <c r="J28" s="172">
        <f t="shared" si="19"/>
        <v>19.166666666666668</v>
      </c>
      <c r="L28" s="134">
        <f t="shared" si="17"/>
        <v>231.05333333333334</v>
      </c>
    </row>
    <row r="29" spans="1:12" x14ac:dyDescent="0.35">
      <c r="A29" s="150" t="s">
        <v>432</v>
      </c>
      <c r="B29" s="150">
        <v>3</v>
      </c>
      <c r="C29" s="151">
        <f>6773-1</f>
        <v>6772</v>
      </c>
      <c r="D29" s="141">
        <v>1840</v>
      </c>
      <c r="E29" s="170">
        <v>2148</v>
      </c>
      <c r="F29" s="170">
        <f t="shared" si="18"/>
        <v>238.66666666666666</v>
      </c>
      <c r="G29" s="170"/>
      <c r="H29" s="171">
        <f>D29*$N$6</f>
        <v>92</v>
      </c>
      <c r="I29" s="171">
        <v>2890</v>
      </c>
      <c r="J29" s="172">
        <f t="shared" si="19"/>
        <v>240.83333333333334</v>
      </c>
      <c r="L29" s="134">
        <f t="shared" si="17"/>
        <v>2885.48</v>
      </c>
    </row>
    <row r="30" spans="1:12" x14ac:dyDescent="0.35">
      <c r="A30" s="150" t="s">
        <v>333</v>
      </c>
      <c r="B30" s="150">
        <v>3</v>
      </c>
      <c r="C30" s="151">
        <v>87</v>
      </c>
      <c r="D30" s="141">
        <v>50</v>
      </c>
      <c r="E30" s="170">
        <v>0</v>
      </c>
      <c r="F30" s="170">
        <f t="shared" si="18"/>
        <v>0</v>
      </c>
      <c r="G30" s="170"/>
      <c r="H30" s="171">
        <f>D30*$N$8</f>
        <v>1.5</v>
      </c>
      <c r="I30" s="171">
        <v>0</v>
      </c>
      <c r="J30" s="172">
        <f t="shared" si="19"/>
        <v>0</v>
      </c>
      <c r="L30" s="134">
        <f t="shared" si="17"/>
        <v>0</v>
      </c>
    </row>
    <row r="31" spans="1:12" x14ac:dyDescent="0.35">
      <c r="A31" s="150" t="s">
        <v>276</v>
      </c>
      <c r="B31" s="150">
        <v>3</v>
      </c>
      <c r="C31" s="151">
        <f>71690.25+3053</f>
        <v>74743.25</v>
      </c>
      <c r="D31" s="141">
        <v>27630</v>
      </c>
      <c r="E31" s="170">
        <v>20999</v>
      </c>
      <c r="F31" s="170">
        <f t="shared" si="18"/>
        <v>2333.2222222222222</v>
      </c>
      <c r="G31" s="170"/>
      <c r="H31" s="171">
        <f>D31*$N$6</f>
        <v>1381.5</v>
      </c>
      <c r="I31" s="171">
        <v>28180</v>
      </c>
      <c r="J31" s="172">
        <f t="shared" si="19"/>
        <v>2348.3333333333335</v>
      </c>
      <c r="K31" s="213" t="s">
        <v>639</v>
      </c>
      <c r="L31" s="206">
        <f>(I12-I8)*(1)*0.05</f>
        <v>-28182.5</v>
      </c>
    </row>
    <row r="32" spans="1:12" x14ac:dyDescent="0.35">
      <c r="A32" s="150" t="s">
        <v>305</v>
      </c>
      <c r="B32" s="150">
        <v>3</v>
      </c>
      <c r="C32" s="151">
        <f>86765.11+45177</f>
        <v>131942.10999999999</v>
      </c>
      <c r="D32" s="141">
        <v>30900</v>
      </c>
      <c r="E32" s="170">
        <v>31563</v>
      </c>
      <c r="F32" s="170">
        <f t="shared" si="18"/>
        <v>3507</v>
      </c>
      <c r="G32" s="170"/>
      <c r="H32" s="171">
        <f t="shared" ref="H32:H41" si="20">D32*$N$8</f>
        <v>927</v>
      </c>
      <c r="I32" s="171">
        <v>29860</v>
      </c>
      <c r="J32" s="172">
        <f t="shared" si="19"/>
        <v>2488.3333333333335</v>
      </c>
      <c r="K32" s="213" t="s">
        <v>647</v>
      </c>
      <c r="L32" s="206">
        <f t="shared" si="17"/>
        <v>42399.630000000005</v>
      </c>
    </row>
    <row r="33" spans="1:13" hidden="1" x14ac:dyDescent="0.35">
      <c r="A33" s="150" t="s">
        <v>253</v>
      </c>
      <c r="B33" s="150"/>
      <c r="C33" s="151"/>
      <c r="D33" s="141">
        <v>0</v>
      </c>
      <c r="E33" s="170">
        <v>0</v>
      </c>
      <c r="F33" s="170">
        <f t="shared" si="18"/>
        <v>0</v>
      </c>
      <c r="G33" s="170"/>
      <c r="H33" s="171">
        <v>0</v>
      </c>
      <c r="I33" s="171">
        <v>0</v>
      </c>
      <c r="J33" s="172">
        <v>0</v>
      </c>
      <c r="L33" s="134">
        <f t="shared" si="17"/>
        <v>0</v>
      </c>
    </row>
    <row r="34" spans="1:13" x14ac:dyDescent="0.35">
      <c r="A34" s="150" t="s">
        <v>365</v>
      </c>
      <c r="B34" s="150">
        <v>3</v>
      </c>
      <c r="C34" s="151">
        <f>4247.25-1013</f>
        <v>3234.25</v>
      </c>
      <c r="D34" s="141">
        <v>1110</v>
      </c>
      <c r="E34" s="170">
        <v>774</v>
      </c>
      <c r="F34" s="170">
        <f t="shared" si="18"/>
        <v>86</v>
      </c>
      <c r="G34" s="170"/>
      <c r="H34" s="171">
        <f t="shared" si="20"/>
        <v>33.299999999999997</v>
      </c>
      <c r="I34" s="171">
        <v>1040</v>
      </c>
      <c r="J34" s="172">
        <f t="shared" si="19"/>
        <v>86.666666666666671</v>
      </c>
      <c r="L34" s="134">
        <f t="shared" si="17"/>
        <v>1039.74</v>
      </c>
    </row>
    <row r="35" spans="1:13" x14ac:dyDescent="0.35">
      <c r="A35" s="150" t="s">
        <v>377</v>
      </c>
      <c r="B35" s="150">
        <v>3</v>
      </c>
      <c r="C35" s="151">
        <f>13284.5+667</f>
        <v>13951.5</v>
      </c>
      <c r="D35" s="141">
        <v>4790</v>
      </c>
      <c r="E35" s="170">
        <v>3753</v>
      </c>
      <c r="F35" s="170">
        <f t="shared" si="18"/>
        <v>417</v>
      </c>
      <c r="G35" s="170"/>
      <c r="H35" s="171">
        <f t="shared" si="20"/>
        <v>143.69999999999999</v>
      </c>
      <c r="I35" s="171">
        <v>5040</v>
      </c>
      <c r="J35" s="172">
        <f t="shared" si="19"/>
        <v>420</v>
      </c>
      <c r="L35" s="134">
        <f t="shared" si="17"/>
        <v>5041.53</v>
      </c>
    </row>
    <row r="36" spans="1:13" x14ac:dyDescent="0.35">
      <c r="A36" s="150" t="s">
        <v>337</v>
      </c>
      <c r="B36" s="150">
        <v>3</v>
      </c>
      <c r="C36" s="151">
        <f>1713.84+907</f>
        <v>2620.84</v>
      </c>
      <c r="D36" s="141">
        <v>1000</v>
      </c>
      <c r="E36" s="170">
        <v>1350</v>
      </c>
      <c r="F36" s="170">
        <f t="shared" si="18"/>
        <v>150</v>
      </c>
      <c r="G36" s="170"/>
      <c r="H36" s="171">
        <f t="shared" si="20"/>
        <v>30</v>
      </c>
      <c r="I36" s="171">
        <v>1810</v>
      </c>
      <c r="J36" s="172">
        <f t="shared" si="19"/>
        <v>150.83333333333334</v>
      </c>
      <c r="L36" s="134">
        <f t="shared" si="17"/>
        <v>1813.5</v>
      </c>
    </row>
    <row r="37" spans="1:13" x14ac:dyDescent="0.35">
      <c r="A37" s="150" t="s">
        <v>338</v>
      </c>
      <c r="B37" s="150">
        <v>3</v>
      </c>
      <c r="C37" s="151">
        <f>755.65+3</f>
        <v>758.65</v>
      </c>
      <c r="D37" s="141">
        <v>260</v>
      </c>
      <c r="E37" s="170">
        <v>175</v>
      </c>
      <c r="F37" s="170">
        <f t="shared" si="18"/>
        <v>19.444444444444443</v>
      </c>
      <c r="G37" s="170"/>
      <c r="H37" s="171">
        <f t="shared" si="20"/>
        <v>7.8</v>
      </c>
      <c r="I37" s="171">
        <v>230</v>
      </c>
      <c r="J37" s="172">
        <f t="shared" si="19"/>
        <v>19.166666666666668</v>
      </c>
      <c r="L37" s="134">
        <f t="shared" si="17"/>
        <v>235.08333333333331</v>
      </c>
    </row>
    <row r="38" spans="1:13" x14ac:dyDescent="0.35">
      <c r="A38" s="150" t="s">
        <v>278</v>
      </c>
      <c r="B38" s="150">
        <v>3</v>
      </c>
      <c r="C38" s="151">
        <f>6528.88+227</f>
        <v>6755.88</v>
      </c>
      <c r="D38" s="141">
        <v>2320</v>
      </c>
      <c r="E38" s="170">
        <v>1949</v>
      </c>
      <c r="F38" s="170">
        <f t="shared" si="18"/>
        <v>216.55555555555554</v>
      </c>
      <c r="G38" s="170"/>
      <c r="H38" s="171">
        <f t="shared" si="20"/>
        <v>69.599999999999994</v>
      </c>
      <c r="I38" s="171">
        <f>2620+1240+600</f>
        <v>4460</v>
      </c>
      <c r="J38" s="172">
        <f t="shared" si="19"/>
        <v>371.66666666666669</v>
      </c>
      <c r="K38" s="173" t="s">
        <v>628</v>
      </c>
      <c r="L38" s="134">
        <f t="shared" si="17"/>
        <v>2618.1566666666668</v>
      </c>
    </row>
    <row r="39" spans="1:13" x14ac:dyDescent="0.35">
      <c r="A39" s="150" t="s">
        <v>378</v>
      </c>
      <c r="B39" s="150">
        <v>3</v>
      </c>
      <c r="C39" s="151">
        <f>14709.67-4399</f>
        <v>10310.67</v>
      </c>
      <c r="D39" s="141">
        <v>3300</v>
      </c>
      <c r="E39" s="170">
        <v>1198</v>
      </c>
      <c r="F39" s="170">
        <f t="shared" si="18"/>
        <v>133.11111111111111</v>
      </c>
      <c r="G39" s="170"/>
      <c r="H39" s="171">
        <f t="shared" si="20"/>
        <v>99</v>
      </c>
      <c r="I39" s="171">
        <v>1610</v>
      </c>
      <c r="J39" s="172">
        <f t="shared" si="19"/>
        <v>134.16666666666666</v>
      </c>
      <c r="L39" s="134">
        <f t="shared" si="17"/>
        <v>1609.3133333333335</v>
      </c>
    </row>
    <row r="40" spans="1:13" x14ac:dyDescent="0.35">
      <c r="A40" s="150" t="s">
        <v>226</v>
      </c>
      <c r="B40" s="150">
        <v>3</v>
      </c>
      <c r="C40" s="151">
        <f>2291.73+4203</f>
        <v>6494.73</v>
      </c>
      <c r="D40" s="141">
        <v>1180</v>
      </c>
      <c r="E40" s="170">
        <v>1840</v>
      </c>
      <c r="F40" s="170">
        <f t="shared" si="18"/>
        <v>204.44444444444446</v>
      </c>
      <c r="G40" s="170"/>
      <c r="H40" s="171">
        <f t="shared" si="20"/>
        <v>35.4</v>
      </c>
      <c r="I40" s="171">
        <v>2470</v>
      </c>
      <c r="J40" s="172">
        <f t="shared" si="19"/>
        <v>205.83333333333334</v>
      </c>
      <c r="L40" s="134">
        <f t="shared" si="17"/>
        <v>2471.7333333333336</v>
      </c>
    </row>
    <row r="41" spans="1:13" x14ac:dyDescent="0.35">
      <c r="A41" s="150" t="s">
        <v>279</v>
      </c>
      <c r="B41" s="150">
        <v>3</v>
      </c>
      <c r="C41" s="163">
        <f>4190.6+3</f>
        <v>4193.6000000000004</v>
      </c>
      <c r="D41" s="175">
        <v>1440</v>
      </c>
      <c r="E41" s="175">
        <v>1087</v>
      </c>
      <c r="F41" s="175">
        <f>E41/9</f>
        <v>120.77777777777777</v>
      </c>
      <c r="G41" s="141"/>
      <c r="H41" s="176">
        <f t="shared" si="20"/>
        <v>43.199999999999996</v>
      </c>
      <c r="I41" s="176">
        <v>1460</v>
      </c>
      <c r="J41" s="177">
        <f t="shared" si="19"/>
        <v>121.66666666666667</v>
      </c>
      <c r="L41" s="134">
        <f t="shared" si="17"/>
        <v>1460.2033333333334</v>
      </c>
    </row>
    <row r="42" spans="1:13" x14ac:dyDescent="0.35">
      <c r="A42" s="169" t="s">
        <v>88</v>
      </c>
      <c r="B42" s="150"/>
      <c r="C42" s="170">
        <f t="shared" ref="C42" si="21">SUM(C26:C41)</f>
        <v>384687.69999999995</v>
      </c>
      <c r="D42" s="170">
        <f>SUM(D25:D41)</f>
        <v>113030</v>
      </c>
      <c r="E42" s="170">
        <f>SUM(E25:E41)</f>
        <v>101197</v>
      </c>
      <c r="F42" s="170">
        <f>SUM(F25:F41)</f>
        <v>11244.111111111111</v>
      </c>
      <c r="G42" s="141"/>
      <c r="H42" s="171">
        <f>SUM(H25:H41)</f>
        <v>3977.3</v>
      </c>
      <c r="I42" s="171">
        <f>SUM(I25:I41)</f>
        <v>125310</v>
      </c>
      <c r="J42" s="172">
        <f>SUM(J25:J41)</f>
        <v>10442.499999999998</v>
      </c>
    </row>
    <row r="43" spans="1:13" ht="12.75" customHeight="1" x14ac:dyDescent="0.35">
      <c r="A43" s="150"/>
      <c r="B43" s="150"/>
      <c r="C43" s="170"/>
      <c r="D43" s="170"/>
      <c r="E43" s="170"/>
      <c r="F43" s="170"/>
      <c r="G43" s="170"/>
      <c r="H43" s="171"/>
      <c r="I43" s="171"/>
      <c r="J43" s="172"/>
    </row>
    <row r="44" spans="1:13" x14ac:dyDescent="0.35">
      <c r="A44" s="169" t="s">
        <v>455</v>
      </c>
      <c r="B44" s="150"/>
      <c r="C44" s="170"/>
      <c r="D44" s="170"/>
      <c r="E44" s="170"/>
      <c r="F44" s="170"/>
      <c r="G44" s="170"/>
      <c r="H44" s="171"/>
      <c r="I44" s="171"/>
      <c r="J44" s="172"/>
    </row>
    <row r="45" spans="1:13" x14ac:dyDescent="0.35">
      <c r="A45" s="150" t="s">
        <v>227</v>
      </c>
      <c r="B45" s="150">
        <v>3</v>
      </c>
      <c r="C45" s="151">
        <f>56950.41+3891</f>
        <v>60841.41</v>
      </c>
      <c r="D45" s="141">
        <v>21610</v>
      </c>
      <c r="E45" s="170">
        <v>14255</v>
      </c>
      <c r="F45" s="170">
        <f>E45/9</f>
        <v>1583.8888888888889</v>
      </c>
      <c r="G45" s="170"/>
      <c r="H45" s="171">
        <f>D45*$M$45</f>
        <v>1512.7</v>
      </c>
      <c r="I45" s="171">
        <v>19750</v>
      </c>
      <c r="J45" s="172">
        <f t="shared" ref="J45:J48" si="22">I45/12</f>
        <v>1645.8333333333333</v>
      </c>
      <c r="K45" s="173" t="s">
        <v>530</v>
      </c>
      <c r="M45" s="188">
        <v>7.0000000000000007E-2</v>
      </c>
    </row>
    <row r="46" spans="1:13" x14ac:dyDescent="0.35">
      <c r="A46" s="150" t="s">
        <v>47</v>
      </c>
      <c r="B46" s="150">
        <v>3</v>
      </c>
      <c r="C46" s="151">
        <f>24876.05-105</f>
        <v>24771.05</v>
      </c>
      <c r="D46" s="141">
        <v>8680</v>
      </c>
      <c r="E46" s="170">
        <v>5837</v>
      </c>
      <c r="F46" s="170">
        <f t="shared" ref="F46:F47" si="23">E46/9</f>
        <v>648.55555555555554</v>
      </c>
      <c r="G46" s="170"/>
      <c r="H46" s="171">
        <f>D46*$M$46</f>
        <v>434</v>
      </c>
      <c r="I46" s="171">
        <v>8090</v>
      </c>
      <c r="J46" s="172">
        <f t="shared" si="22"/>
        <v>674.16666666666663</v>
      </c>
      <c r="K46" s="173" t="s">
        <v>531</v>
      </c>
      <c r="L46" s="134">
        <f>SUM((E46+(F46*3))*1.04)</f>
        <v>8093.9733333333334</v>
      </c>
      <c r="M46" s="188">
        <v>0.05</v>
      </c>
    </row>
    <row r="47" spans="1:13" x14ac:dyDescent="0.35">
      <c r="A47" s="150" t="s">
        <v>48</v>
      </c>
      <c r="B47" s="150">
        <v>3</v>
      </c>
      <c r="C47" s="151">
        <f>24845.71+7959</f>
        <v>32804.71</v>
      </c>
      <c r="D47" s="141">
        <v>11700</v>
      </c>
      <c r="E47" s="170">
        <v>4904</v>
      </c>
      <c r="F47" s="170">
        <f t="shared" si="23"/>
        <v>544.88888888888891</v>
      </c>
      <c r="G47" s="170"/>
      <c r="H47" s="171">
        <f>D47*$M$47</f>
        <v>819.00000000000011</v>
      </c>
      <c r="I47" s="171">
        <v>6860</v>
      </c>
      <c r="J47" s="172">
        <f t="shared" si="22"/>
        <v>571.66666666666663</v>
      </c>
      <c r="K47" s="173" t="s">
        <v>590</v>
      </c>
      <c r="L47" s="134">
        <f>SUM((E47+(F47*3))*1.05)</f>
        <v>6865.6</v>
      </c>
      <c r="M47" s="188">
        <v>7.0000000000000007E-2</v>
      </c>
    </row>
    <row r="48" spans="1:13" x14ac:dyDescent="0.35">
      <c r="A48" s="150" t="s">
        <v>49</v>
      </c>
      <c r="B48" s="150">
        <v>3</v>
      </c>
      <c r="C48" s="163">
        <f>12400.96+1541</f>
        <v>13941.96</v>
      </c>
      <c r="D48" s="175">
        <v>4800</v>
      </c>
      <c r="E48" s="175">
        <v>3525</v>
      </c>
      <c r="F48" s="175">
        <f>E48/9</f>
        <v>391.66666666666669</v>
      </c>
      <c r="G48" s="141"/>
      <c r="H48" s="176">
        <f>D48*$M$48</f>
        <v>240</v>
      </c>
      <c r="I48" s="176">
        <v>4890</v>
      </c>
      <c r="J48" s="177">
        <f t="shared" si="22"/>
        <v>407.5</v>
      </c>
      <c r="K48" s="173" t="s">
        <v>531</v>
      </c>
      <c r="L48" s="134">
        <f>SUM((E48+(F48*3))*1.04)</f>
        <v>4888</v>
      </c>
      <c r="M48" s="188">
        <v>0.05</v>
      </c>
    </row>
    <row r="49" spans="1:12" x14ac:dyDescent="0.35">
      <c r="A49" s="169" t="s">
        <v>307</v>
      </c>
      <c r="B49" s="150"/>
      <c r="C49" s="170">
        <f>SUM(C45:C48)</f>
        <v>132359.13</v>
      </c>
      <c r="D49" s="170">
        <f>SUM(D45:D48)</f>
        <v>46790</v>
      </c>
      <c r="E49" s="170">
        <f>SUM(E45:E48)</f>
        <v>28521</v>
      </c>
      <c r="F49" s="170">
        <f>SUM(F45:F48)</f>
        <v>3168.9999999999995</v>
      </c>
      <c r="G49" s="141"/>
      <c r="H49" s="171">
        <f>SUM(H45:H48)</f>
        <v>3005.7000000000003</v>
      </c>
      <c r="I49" s="171">
        <f>SUM(I45:I48)</f>
        <v>39590</v>
      </c>
      <c r="J49" s="172">
        <f t="shared" si="19"/>
        <v>3299.1666666666665</v>
      </c>
      <c r="K49" s="173"/>
    </row>
    <row r="50" spans="1:12" ht="11.25" customHeight="1" x14ac:dyDescent="0.35">
      <c r="A50" s="150"/>
      <c r="B50" s="150"/>
      <c r="C50" s="170"/>
      <c r="D50" s="170"/>
      <c r="E50" s="170"/>
      <c r="F50" s="170"/>
      <c r="G50" s="170"/>
      <c r="H50" s="171"/>
      <c r="I50" s="171"/>
      <c r="J50" s="172"/>
      <c r="K50" s="173"/>
    </row>
    <row r="51" spans="1:12" x14ac:dyDescent="0.35">
      <c r="A51" s="169" t="s">
        <v>456</v>
      </c>
      <c r="B51" s="150"/>
      <c r="C51" s="170"/>
      <c r="D51" s="170"/>
      <c r="E51" s="170"/>
      <c r="F51" s="170"/>
      <c r="G51" s="170"/>
      <c r="H51" s="171"/>
      <c r="I51" s="171"/>
      <c r="J51" s="172"/>
      <c r="K51" s="173"/>
    </row>
    <row r="52" spans="1:12" x14ac:dyDescent="0.35">
      <c r="A52" s="150" t="s">
        <v>50</v>
      </c>
      <c r="B52" s="150">
        <v>3</v>
      </c>
      <c r="C52" s="151">
        <f>2921.33+807</f>
        <v>3728.33</v>
      </c>
      <c r="D52" s="141">
        <v>1280</v>
      </c>
      <c r="E52" s="170">
        <v>850</v>
      </c>
      <c r="F52" s="170">
        <f>E52/9</f>
        <v>94.444444444444443</v>
      </c>
      <c r="G52" s="170"/>
      <c r="H52" s="171">
        <f t="shared" ref="H52:H66" si="24">D52*$N$8</f>
        <v>38.4</v>
      </c>
      <c r="I52" s="171">
        <v>1170</v>
      </c>
      <c r="J52" s="172">
        <f t="shared" si="19"/>
        <v>97.5</v>
      </c>
      <c r="L52" s="134">
        <f t="shared" ref="L52:L66" si="25">SUM((E52+(F52*3))*1.03)</f>
        <v>1167.3333333333333</v>
      </c>
    </row>
    <row r="53" spans="1:12" x14ac:dyDescent="0.35">
      <c r="A53" s="150" t="s">
        <v>379</v>
      </c>
      <c r="B53" s="150">
        <v>3</v>
      </c>
      <c r="C53" s="151">
        <f>41613.62+589</f>
        <v>42202.62</v>
      </c>
      <c r="D53" s="141">
        <v>12040</v>
      </c>
      <c r="E53" s="170">
        <v>12337</v>
      </c>
      <c r="F53" s="170">
        <f t="shared" ref="F53:F65" si="26">E53/9</f>
        <v>1370.7777777777778</v>
      </c>
      <c r="G53" s="170"/>
      <c r="H53" s="171">
        <f t="shared" si="24"/>
        <v>361.2</v>
      </c>
      <c r="I53" s="171">
        <v>16940</v>
      </c>
      <c r="J53" s="172">
        <f t="shared" si="19"/>
        <v>1411.6666666666667</v>
      </c>
      <c r="L53" s="134">
        <f t="shared" si="25"/>
        <v>16942.813333333335</v>
      </c>
    </row>
    <row r="54" spans="1:12" x14ac:dyDescent="0.35">
      <c r="A54" s="150" t="s">
        <v>346</v>
      </c>
      <c r="B54" s="150">
        <v>3</v>
      </c>
      <c r="C54" s="151">
        <f>4277+63</f>
        <v>4340</v>
      </c>
      <c r="D54" s="141">
        <v>1230</v>
      </c>
      <c r="E54" s="170">
        <v>612</v>
      </c>
      <c r="F54" s="170">
        <f t="shared" si="26"/>
        <v>68</v>
      </c>
      <c r="G54" s="170"/>
      <c r="H54" s="171">
        <f t="shared" si="24"/>
        <v>36.9</v>
      </c>
      <c r="I54" s="171">
        <v>840</v>
      </c>
      <c r="J54" s="172">
        <f t="shared" si="19"/>
        <v>70</v>
      </c>
      <c r="L54" s="134">
        <f t="shared" si="25"/>
        <v>840.48</v>
      </c>
    </row>
    <row r="55" spans="1:12" x14ac:dyDescent="0.35">
      <c r="A55" s="150" t="s">
        <v>53</v>
      </c>
      <c r="B55" s="150">
        <v>3</v>
      </c>
      <c r="C55" s="151">
        <f>4502.12+1207</f>
        <v>5709.12</v>
      </c>
      <c r="D55" s="141">
        <v>1709.8</v>
      </c>
      <c r="E55" s="170">
        <v>1465</v>
      </c>
      <c r="F55" s="170">
        <f t="shared" si="26"/>
        <v>162.77777777777777</v>
      </c>
      <c r="G55" s="170"/>
      <c r="H55" s="171">
        <f t="shared" si="24"/>
        <v>51.293999999999997</v>
      </c>
      <c r="I55" s="171">
        <v>2030</v>
      </c>
      <c r="J55" s="172">
        <f t="shared" si="19"/>
        <v>169.16666666666666</v>
      </c>
      <c r="K55" s="173" t="s">
        <v>570</v>
      </c>
      <c r="L55" s="134">
        <f>SUM((E55+(F55*3))*1.04)</f>
        <v>2031.4666666666667</v>
      </c>
    </row>
    <row r="56" spans="1:12" hidden="1" x14ac:dyDescent="0.35">
      <c r="A56" s="150" t="s">
        <v>243</v>
      </c>
      <c r="B56" s="150">
        <v>3</v>
      </c>
      <c r="C56" s="151">
        <f>160.09+713</f>
        <v>873.09</v>
      </c>
      <c r="D56" s="141">
        <v>0</v>
      </c>
      <c r="E56" s="170">
        <f t="shared" ref="E56:E93" si="27">D56/12</f>
        <v>0</v>
      </c>
      <c r="F56" s="170">
        <f t="shared" si="26"/>
        <v>0</v>
      </c>
      <c r="G56" s="170"/>
      <c r="H56" s="171">
        <f t="shared" si="24"/>
        <v>0</v>
      </c>
      <c r="I56" s="171">
        <f t="shared" ref="I56:I92" si="28">D56+H56</f>
        <v>0</v>
      </c>
      <c r="J56" s="172">
        <f t="shared" si="19"/>
        <v>0</v>
      </c>
      <c r="L56" s="134">
        <f t="shared" si="25"/>
        <v>0</v>
      </c>
    </row>
    <row r="57" spans="1:12" x14ac:dyDescent="0.35">
      <c r="A57" s="150" t="s">
        <v>311</v>
      </c>
      <c r="B57" s="150">
        <v>3</v>
      </c>
      <c r="C57" s="151">
        <f>18486.48+2777</f>
        <v>21263.48</v>
      </c>
      <c r="D57" s="141">
        <v>7300</v>
      </c>
      <c r="E57" s="170">
        <v>7774</v>
      </c>
      <c r="F57" s="170">
        <f t="shared" si="26"/>
        <v>863.77777777777783</v>
      </c>
      <c r="G57" s="170"/>
      <c r="H57" s="171">
        <f t="shared" si="24"/>
        <v>219</v>
      </c>
      <c r="I57" s="171">
        <v>10680</v>
      </c>
      <c r="J57" s="172">
        <f t="shared" si="19"/>
        <v>890</v>
      </c>
      <c r="K57" s="173" t="s">
        <v>437</v>
      </c>
      <c r="L57" s="134">
        <f t="shared" si="25"/>
        <v>10676.293333333335</v>
      </c>
    </row>
    <row r="58" spans="1:12" x14ac:dyDescent="0.35">
      <c r="A58" s="150" t="s">
        <v>257</v>
      </c>
      <c r="B58" s="150">
        <v>3</v>
      </c>
      <c r="C58" s="151">
        <f>56966.48-5005</f>
        <v>51961.48</v>
      </c>
      <c r="D58" s="141">
        <v>17840</v>
      </c>
      <c r="E58" s="170">
        <v>10696</v>
      </c>
      <c r="F58" s="170">
        <f t="shared" si="26"/>
        <v>1188.4444444444443</v>
      </c>
      <c r="G58" s="170"/>
      <c r="H58" s="171">
        <f t="shared" si="24"/>
        <v>535.19999999999993</v>
      </c>
      <c r="I58" s="171">
        <v>14690</v>
      </c>
      <c r="J58" s="172">
        <f t="shared" si="19"/>
        <v>1224.1666666666667</v>
      </c>
      <c r="L58" s="134">
        <f t="shared" si="25"/>
        <v>14689.173333333332</v>
      </c>
    </row>
    <row r="59" spans="1:12" x14ac:dyDescent="0.35">
      <c r="A59" s="150" t="s">
        <v>55</v>
      </c>
      <c r="B59" s="150">
        <v>3</v>
      </c>
      <c r="C59" s="151">
        <f>136422.19-26033</f>
        <v>110389.19</v>
      </c>
      <c r="D59" s="141">
        <v>32100</v>
      </c>
      <c r="E59" s="170">
        <v>23453</v>
      </c>
      <c r="F59" s="170">
        <f t="shared" si="26"/>
        <v>2605.8888888888887</v>
      </c>
      <c r="G59" s="170"/>
      <c r="H59" s="171">
        <f t="shared" si="24"/>
        <v>963</v>
      </c>
      <c r="I59" s="171">
        <v>32210</v>
      </c>
      <c r="J59" s="172">
        <f t="shared" si="19"/>
        <v>2684.1666666666665</v>
      </c>
      <c r="L59" s="134">
        <f t="shared" si="25"/>
        <v>32208.786666666663</v>
      </c>
    </row>
    <row r="60" spans="1:12" x14ac:dyDescent="0.35">
      <c r="A60" s="150" t="s">
        <v>526</v>
      </c>
      <c r="B60" s="150"/>
      <c r="C60" s="151"/>
      <c r="D60" s="170">
        <v>0</v>
      </c>
      <c r="E60" s="170">
        <v>0</v>
      </c>
      <c r="F60" s="170">
        <f>E60/9</f>
        <v>0</v>
      </c>
      <c r="G60" s="170"/>
      <c r="H60" s="171"/>
      <c r="I60" s="171">
        <v>8000</v>
      </c>
      <c r="J60" s="172">
        <f>I60/12</f>
        <v>666.66666666666663</v>
      </c>
      <c r="K60" s="173" t="s">
        <v>623</v>
      </c>
      <c r="L60" s="134">
        <f>SUM((E60+(F60*3))*1.03)</f>
        <v>0</v>
      </c>
    </row>
    <row r="61" spans="1:12" x14ac:dyDescent="0.35">
      <c r="A61" s="150" t="s">
        <v>527</v>
      </c>
      <c r="B61" s="150"/>
      <c r="C61" s="151"/>
      <c r="D61" s="170">
        <v>0</v>
      </c>
      <c r="E61" s="170">
        <v>0</v>
      </c>
      <c r="F61" s="170">
        <f>E61/9</f>
        <v>0</v>
      </c>
      <c r="G61" s="170"/>
      <c r="H61" s="171"/>
      <c r="I61" s="171">
        <v>300</v>
      </c>
      <c r="J61" s="172">
        <f>I61/12</f>
        <v>25</v>
      </c>
      <c r="K61" s="173" t="s">
        <v>623</v>
      </c>
      <c r="L61" s="134">
        <f>SUM((E61+(F61*3))*1.03)</f>
        <v>0</v>
      </c>
    </row>
    <row r="62" spans="1:12" x14ac:dyDescent="0.35">
      <c r="A62" s="150" t="s">
        <v>648</v>
      </c>
      <c r="B62" s="150"/>
      <c r="C62" s="151"/>
      <c r="D62" s="141">
        <v>0</v>
      </c>
      <c r="E62" s="170">
        <v>0</v>
      </c>
      <c r="F62" s="170">
        <f t="shared" ref="F62" si="29">E62/9</f>
        <v>0</v>
      </c>
      <c r="G62" s="170"/>
      <c r="H62" s="171">
        <f t="shared" si="24"/>
        <v>0</v>
      </c>
      <c r="I62" s="171">
        <f>2500+18900</f>
        <v>21400</v>
      </c>
      <c r="J62" s="172">
        <f t="shared" si="19"/>
        <v>1783.3333333333333</v>
      </c>
      <c r="K62" s="173" t="s">
        <v>623</v>
      </c>
    </row>
    <row r="63" spans="1:12" hidden="1" x14ac:dyDescent="0.35">
      <c r="A63" s="150" t="s">
        <v>228</v>
      </c>
      <c r="B63" s="150">
        <v>3</v>
      </c>
      <c r="C63" s="151">
        <f>7778.41+6203</f>
        <v>13981.41</v>
      </c>
      <c r="D63" s="141">
        <v>0</v>
      </c>
      <c r="E63" s="170">
        <v>0</v>
      </c>
      <c r="F63" s="170">
        <f t="shared" si="26"/>
        <v>0</v>
      </c>
      <c r="G63" s="170"/>
      <c r="H63" s="171">
        <v>0</v>
      </c>
      <c r="I63" s="171">
        <v>0</v>
      </c>
      <c r="J63" s="172">
        <f t="shared" si="19"/>
        <v>0</v>
      </c>
      <c r="K63" s="173" t="s">
        <v>434</v>
      </c>
      <c r="L63" s="134">
        <f t="shared" si="25"/>
        <v>0</v>
      </c>
    </row>
    <row r="64" spans="1:12" x14ac:dyDescent="0.35">
      <c r="A64" s="150" t="s">
        <v>349</v>
      </c>
      <c r="B64" s="150">
        <v>3</v>
      </c>
      <c r="C64" s="151">
        <f>16043.56+1199</f>
        <v>17242.559999999998</v>
      </c>
      <c r="D64" s="141">
        <v>5900</v>
      </c>
      <c r="E64" s="170">
        <v>4960</v>
      </c>
      <c r="F64" s="170">
        <f t="shared" si="26"/>
        <v>551.11111111111109</v>
      </c>
      <c r="G64" s="170"/>
      <c r="H64" s="171">
        <f t="shared" si="24"/>
        <v>177</v>
      </c>
      <c r="I64" s="171">
        <v>6740</v>
      </c>
      <c r="J64" s="172">
        <f t="shared" si="19"/>
        <v>561.66666666666663</v>
      </c>
      <c r="K64" s="173" t="s">
        <v>579</v>
      </c>
      <c r="L64" s="134">
        <f>SUM((E64+(F64*3))*1.02)</f>
        <v>6745.5999999999995</v>
      </c>
    </row>
    <row r="65" spans="1:14" x14ac:dyDescent="0.35">
      <c r="A65" s="150" t="s">
        <v>57</v>
      </c>
      <c r="B65" s="150">
        <v>3</v>
      </c>
      <c r="C65" s="151">
        <f>10970.98-3107</f>
        <v>7863.98</v>
      </c>
      <c r="D65" s="141">
        <v>2700</v>
      </c>
      <c r="E65" s="170">
        <v>2700</v>
      </c>
      <c r="F65" s="170">
        <f t="shared" si="26"/>
        <v>300</v>
      </c>
      <c r="G65" s="170"/>
      <c r="H65" s="171">
        <f t="shared" si="24"/>
        <v>81</v>
      </c>
      <c r="I65" s="171">
        <v>3240</v>
      </c>
      <c r="J65" s="172">
        <f t="shared" si="19"/>
        <v>270</v>
      </c>
      <c r="K65" s="134" t="s">
        <v>655</v>
      </c>
      <c r="L65" s="134">
        <f t="shared" si="25"/>
        <v>3708</v>
      </c>
    </row>
    <row r="66" spans="1:14" x14ac:dyDescent="0.35">
      <c r="A66" s="150" t="s">
        <v>56</v>
      </c>
      <c r="B66" s="150">
        <v>3</v>
      </c>
      <c r="C66" s="163">
        <v>203</v>
      </c>
      <c r="D66" s="175">
        <v>620</v>
      </c>
      <c r="E66" s="175">
        <v>100</v>
      </c>
      <c r="F66" s="175">
        <f>E66/9</f>
        <v>11.111111111111111</v>
      </c>
      <c r="G66" s="141"/>
      <c r="H66" s="176">
        <f t="shared" si="24"/>
        <v>18.599999999999998</v>
      </c>
      <c r="I66" s="176">
        <v>140</v>
      </c>
      <c r="J66" s="177">
        <f t="shared" si="19"/>
        <v>11.666666666666666</v>
      </c>
      <c r="L66" s="134">
        <f t="shared" si="25"/>
        <v>137.33333333333331</v>
      </c>
      <c r="N66" s="134">
        <f>765/100</f>
        <v>7.65</v>
      </c>
    </row>
    <row r="67" spans="1:14" x14ac:dyDescent="0.35">
      <c r="A67" s="169" t="s">
        <v>91</v>
      </c>
      <c r="B67" s="150"/>
      <c r="C67" s="170">
        <f>SUM(C52:C66)</f>
        <v>279758.26</v>
      </c>
      <c r="D67" s="170">
        <f>SUM(D52:D66)</f>
        <v>82719.8</v>
      </c>
      <c r="E67" s="170">
        <f>SUM(E52:E66)</f>
        <v>64947</v>
      </c>
      <c r="F67" s="170">
        <f>SUM(F52:F66)</f>
        <v>7216.3333333333339</v>
      </c>
      <c r="G67" s="141"/>
      <c r="H67" s="171">
        <f>SUM(H52:H66)</f>
        <v>2481.5939999999996</v>
      </c>
      <c r="I67" s="171">
        <f>SUM(I52:I66)</f>
        <v>118380</v>
      </c>
      <c r="J67" s="172">
        <f t="shared" si="19"/>
        <v>9865</v>
      </c>
    </row>
    <row r="68" spans="1:14" ht="12.75" customHeight="1" x14ac:dyDescent="0.35">
      <c r="A68" s="150"/>
      <c r="B68" s="150"/>
      <c r="C68" s="170"/>
      <c r="D68" s="170"/>
      <c r="E68" s="170"/>
      <c r="F68" s="170"/>
      <c r="G68" s="170"/>
      <c r="H68" s="171"/>
      <c r="I68" s="171"/>
      <c r="J68" s="172"/>
    </row>
    <row r="69" spans="1:14" x14ac:dyDescent="0.35">
      <c r="A69" s="169" t="s">
        <v>457</v>
      </c>
      <c r="B69" s="150"/>
      <c r="C69" s="170"/>
      <c r="D69" s="170"/>
      <c r="E69" s="170"/>
      <c r="F69" s="170"/>
      <c r="G69" s="170"/>
      <c r="H69" s="171"/>
      <c r="I69" s="171"/>
      <c r="J69" s="172"/>
    </row>
    <row r="70" spans="1:14" x14ac:dyDescent="0.35">
      <c r="A70" s="150" t="s">
        <v>42</v>
      </c>
      <c r="B70" s="150">
        <v>3</v>
      </c>
      <c r="C70" s="151">
        <f>17857.13-495</f>
        <v>17362.13</v>
      </c>
      <c r="D70" s="141">
        <v>4960</v>
      </c>
      <c r="E70" s="170">
        <v>3993</v>
      </c>
      <c r="F70" s="170">
        <f>E70/9</f>
        <v>443.66666666666669</v>
      </c>
      <c r="G70" s="170"/>
      <c r="H70" s="171">
        <f>D70*$M$70</f>
        <v>379.44</v>
      </c>
      <c r="I70" s="171">
        <v>6510</v>
      </c>
      <c r="J70" s="172">
        <f t="shared" ref="J70:J75" si="30">I70/12</f>
        <v>542.5</v>
      </c>
      <c r="K70" s="173" t="s">
        <v>427</v>
      </c>
      <c r="L70" s="134">
        <f>SUM(I26+I32+I66)*7.65%</f>
        <v>5549.3099999999995</v>
      </c>
      <c r="M70" s="214">
        <v>7.6499999999999999E-2</v>
      </c>
    </row>
    <row r="71" spans="1:14" x14ac:dyDescent="0.35">
      <c r="A71" s="150" t="s">
        <v>324</v>
      </c>
      <c r="B71" s="150">
        <v>3</v>
      </c>
      <c r="C71" s="151">
        <f>21162.07+4067</f>
        <v>25229.07</v>
      </c>
      <c r="D71" s="141">
        <v>8570</v>
      </c>
      <c r="E71" s="170">
        <v>8465</v>
      </c>
      <c r="F71" s="170">
        <f t="shared" ref="F71:F73" si="31">E71/9</f>
        <v>940.55555555555554</v>
      </c>
      <c r="G71" s="170"/>
      <c r="H71" s="171" t="e">
        <f>D71*#REF!</f>
        <v>#REF!</v>
      </c>
      <c r="I71" s="171">
        <v>8630</v>
      </c>
      <c r="J71" s="172">
        <f t="shared" si="30"/>
        <v>719.16666666666663</v>
      </c>
      <c r="K71" s="173" t="s">
        <v>571</v>
      </c>
      <c r="L71" s="134">
        <f>E71*1.02</f>
        <v>8634.2999999999993</v>
      </c>
      <c r="M71" s="214">
        <v>7.6499999999999999E-2</v>
      </c>
    </row>
    <row r="72" spans="1:14" x14ac:dyDescent="0.35">
      <c r="A72" s="150" t="s">
        <v>59</v>
      </c>
      <c r="B72" s="150">
        <v>3</v>
      </c>
      <c r="C72" s="151">
        <f>66785.16-8677</f>
        <v>58108.160000000003</v>
      </c>
      <c r="D72" s="141">
        <v>19450</v>
      </c>
      <c r="E72" s="170">
        <v>11952</v>
      </c>
      <c r="F72" s="170">
        <f t="shared" si="31"/>
        <v>1328</v>
      </c>
      <c r="G72" s="170"/>
      <c r="H72" s="171">
        <f>D72*$M$72</f>
        <v>5835</v>
      </c>
      <c r="I72" s="171">
        <v>25520</v>
      </c>
      <c r="J72" s="172">
        <f t="shared" si="30"/>
        <v>2126.6666666666665</v>
      </c>
      <c r="K72" s="173" t="s">
        <v>424</v>
      </c>
      <c r="L72" s="134">
        <f>SUM(I26+I32+I66)*0.3</f>
        <v>21762</v>
      </c>
      <c r="M72" s="188">
        <v>0.3</v>
      </c>
    </row>
    <row r="73" spans="1:14" x14ac:dyDescent="0.35">
      <c r="A73" s="150" t="s">
        <v>293</v>
      </c>
      <c r="B73" s="150">
        <v>3</v>
      </c>
      <c r="C73" s="151">
        <f>2231.4+909</f>
        <v>3140.4</v>
      </c>
      <c r="D73" s="141">
        <v>550</v>
      </c>
      <c r="E73" s="170">
        <v>1447</v>
      </c>
      <c r="F73" s="170">
        <f t="shared" si="31"/>
        <v>160.77777777777777</v>
      </c>
      <c r="G73" s="170"/>
      <c r="H73" s="171">
        <f>D73*$M$45</f>
        <v>38.500000000000007</v>
      </c>
      <c r="I73" s="171">
        <v>1990</v>
      </c>
      <c r="J73" s="172">
        <f t="shared" si="30"/>
        <v>165.83333333333334</v>
      </c>
      <c r="K73" s="189" t="s">
        <v>640</v>
      </c>
      <c r="L73" s="134">
        <f>SUM((E73+(F73*3))*1.03)</f>
        <v>1987.2133333333334</v>
      </c>
    </row>
    <row r="74" spans="1:14" x14ac:dyDescent="0.35">
      <c r="A74" s="150" t="s">
        <v>558</v>
      </c>
      <c r="B74" s="150"/>
      <c r="C74" s="151"/>
      <c r="D74" s="141">
        <v>0</v>
      </c>
      <c r="E74" s="170">
        <v>297</v>
      </c>
      <c r="F74" s="170">
        <f>E74/9</f>
        <v>33</v>
      </c>
      <c r="G74" s="170"/>
      <c r="H74" s="171"/>
      <c r="I74" s="171">
        <v>400</v>
      </c>
      <c r="J74" s="172">
        <f t="shared" si="30"/>
        <v>33.333333333333336</v>
      </c>
      <c r="L74" s="134">
        <f t="shared" ref="L74:L75" si="32">SUM((E74+(F74*3))*1.03)</f>
        <v>407.88</v>
      </c>
      <c r="N74" s="134">
        <f>SUM(I70)*7.65%</f>
        <v>498.01499999999999</v>
      </c>
    </row>
    <row r="75" spans="1:14" x14ac:dyDescent="0.35">
      <c r="A75" s="150" t="s">
        <v>61</v>
      </c>
      <c r="B75" s="150">
        <v>3</v>
      </c>
      <c r="C75" s="170">
        <f>27130.12-1061</f>
        <v>26069.119999999999</v>
      </c>
      <c r="D75" s="170">
        <v>0</v>
      </c>
      <c r="E75" s="170">
        <v>158</v>
      </c>
      <c r="F75" s="170">
        <f t="shared" ref="F75:F79" si="33">E75/9</f>
        <v>17.555555555555557</v>
      </c>
      <c r="G75" s="170"/>
      <c r="H75" s="171">
        <f t="shared" ref="H75" si="34">D75*$M$9</f>
        <v>0</v>
      </c>
      <c r="I75" s="171">
        <v>210</v>
      </c>
      <c r="J75" s="172">
        <f t="shared" si="30"/>
        <v>17.5</v>
      </c>
      <c r="L75" s="134">
        <f t="shared" si="32"/>
        <v>216.98666666666668</v>
      </c>
    </row>
    <row r="76" spans="1:14" x14ac:dyDescent="0.35">
      <c r="A76" s="150" t="s">
        <v>352</v>
      </c>
      <c r="B76" s="150">
        <v>3</v>
      </c>
      <c r="C76" s="151">
        <f>220.09+13</f>
        <v>233.09</v>
      </c>
      <c r="D76" s="141">
        <v>100</v>
      </c>
      <c r="E76" s="170">
        <v>0</v>
      </c>
      <c r="F76" s="170">
        <f t="shared" si="33"/>
        <v>0</v>
      </c>
      <c r="G76" s="170"/>
      <c r="H76" s="171">
        <f>D76*$N$8</f>
        <v>3</v>
      </c>
      <c r="I76" s="171">
        <v>50</v>
      </c>
      <c r="J76" s="172">
        <f t="shared" si="19"/>
        <v>4.166666666666667</v>
      </c>
      <c r="K76" s="173" t="s">
        <v>353</v>
      </c>
      <c r="N76" s="134">
        <f>SUM(I70)*30%</f>
        <v>1953</v>
      </c>
    </row>
    <row r="77" spans="1:14" x14ac:dyDescent="0.35">
      <c r="A77" s="150" t="s">
        <v>354</v>
      </c>
      <c r="B77" s="150">
        <v>3</v>
      </c>
      <c r="C77" s="151">
        <f>28668.48+32612</f>
        <v>61280.479999999996</v>
      </c>
      <c r="D77" s="141">
        <v>14290</v>
      </c>
      <c r="E77" s="170">
        <v>10557</v>
      </c>
      <c r="F77" s="170">
        <f t="shared" si="33"/>
        <v>1173</v>
      </c>
      <c r="G77" s="170"/>
      <c r="H77" s="171">
        <f>D77*$N$8</f>
        <v>428.7</v>
      </c>
      <c r="I77" s="171">
        <v>14820</v>
      </c>
      <c r="J77" s="172">
        <f t="shared" si="19"/>
        <v>1235</v>
      </c>
      <c r="K77" s="173" t="s">
        <v>581</v>
      </c>
      <c r="N77" s="134">
        <f>SUM((E77+(F77*3))*1.03)</f>
        <v>14498.28</v>
      </c>
    </row>
    <row r="78" spans="1:14" x14ac:dyDescent="0.35">
      <c r="A78" s="150" t="s">
        <v>62</v>
      </c>
      <c r="B78" s="150">
        <v>3</v>
      </c>
      <c r="C78" s="163">
        <v>139481.24</v>
      </c>
      <c r="D78" s="175">
        <v>20680</v>
      </c>
      <c r="E78" s="175">
        <v>16476</v>
      </c>
      <c r="F78" s="175">
        <f t="shared" si="33"/>
        <v>1830.6666666666667</v>
      </c>
      <c r="G78" s="141"/>
      <c r="H78" s="176">
        <v>0</v>
      </c>
      <c r="I78" s="176">
        <v>22560</v>
      </c>
      <c r="J78" s="177">
        <f t="shared" si="19"/>
        <v>1880</v>
      </c>
      <c r="K78" s="173" t="s">
        <v>262</v>
      </c>
    </row>
    <row r="79" spans="1:14" x14ac:dyDescent="0.35">
      <c r="A79" s="169" t="s">
        <v>92</v>
      </c>
      <c r="B79" s="150"/>
      <c r="C79" s="170">
        <f t="shared" ref="C79:J79" si="35">SUM(C70:C78)</f>
        <v>330903.68999999994</v>
      </c>
      <c r="D79" s="170">
        <f t="shared" si="35"/>
        <v>68600</v>
      </c>
      <c r="E79" s="170">
        <f t="shared" si="35"/>
        <v>53345</v>
      </c>
      <c r="F79" s="170">
        <f t="shared" si="33"/>
        <v>5927.2222222222226</v>
      </c>
      <c r="G79" s="141"/>
      <c r="H79" s="171" t="e">
        <f t="shared" si="35"/>
        <v>#REF!</v>
      </c>
      <c r="I79" s="171">
        <f t="shared" si="35"/>
        <v>80690</v>
      </c>
      <c r="J79" s="172">
        <f t="shared" si="35"/>
        <v>6724.1666666666661</v>
      </c>
    </row>
    <row r="80" spans="1:14" ht="12.75" customHeight="1" x14ac:dyDescent="0.35">
      <c r="A80" s="150"/>
      <c r="B80" s="150"/>
      <c r="C80" s="170"/>
      <c r="D80" s="170"/>
      <c r="E80" s="170"/>
      <c r="F80" s="170"/>
      <c r="G80" s="170"/>
      <c r="H80" s="171"/>
      <c r="I80" s="171"/>
      <c r="J80" s="172"/>
    </row>
    <row r="81" spans="1:11" x14ac:dyDescent="0.35">
      <c r="A81" s="169" t="s">
        <v>459</v>
      </c>
      <c r="B81" s="150"/>
      <c r="C81" s="170"/>
      <c r="D81" s="170"/>
      <c r="E81" s="170"/>
      <c r="F81" s="170"/>
      <c r="G81" s="170"/>
      <c r="H81" s="171"/>
      <c r="I81" s="171"/>
      <c r="J81" s="172"/>
    </row>
    <row r="82" spans="1:11" x14ac:dyDescent="0.35">
      <c r="A82" s="150" t="s">
        <v>313</v>
      </c>
      <c r="B82" s="150">
        <v>3</v>
      </c>
      <c r="C82" s="151">
        <v>174358.63</v>
      </c>
      <c r="D82" s="141">
        <v>59070</v>
      </c>
      <c r="E82" s="170">
        <v>49704</v>
      </c>
      <c r="F82" s="170">
        <f>E82/9</f>
        <v>5522.666666666667</v>
      </c>
      <c r="G82" s="170"/>
      <c r="H82" s="171">
        <v>0</v>
      </c>
      <c r="I82" s="171">
        <v>53340</v>
      </c>
      <c r="J82" s="172">
        <f>I82/12</f>
        <v>4445</v>
      </c>
      <c r="K82" s="173" t="s">
        <v>582</v>
      </c>
    </row>
    <row r="83" spans="1:11" x14ac:dyDescent="0.35">
      <c r="A83" s="150" t="s">
        <v>295</v>
      </c>
      <c r="B83" s="150">
        <v>3</v>
      </c>
      <c r="C83" s="163">
        <v>277977.89</v>
      </c>
      <c r="D83" s="164">
        <v>110560</v>
      </c>
      <c r="E83" s="175">
        <v>91747</v>
      </c>
      <c r="F83" s="175">
        <f>E83/9</f>
        <v>10194.111111111111</v>
      </c>
      <c r="G83" s="141"/>
      <c r="H83" s="176">
        <v>0</v>
      </c>
      <c r="I83" s="176">
        <v>116290</v>
      </c>
      <c r="J83" s="177">
        <f>I83/12</f>
        <v>9690.8333333333339</v>
      </c>
      <c r="K83" s="173" t="s">
        <v>582</v>
      </c>
    </row>
    <row r="84" spans="1:11" x14ac:dyDescent="0.35">
      <c r="A84" s="169" t="s">
        <v>314</v>
      </c>
      <c r="B84" s="150"/>
      <c r="C84" s="170">
        <f>SUM(C80:C83)</f>
        <v>452336.52</v>
      </c>
      <c r="D84" s="170">
        <f t="shared" ref="D84:J84" si="36">SUM(D80:D83)</f>
        <v>169630</v>
      </c>
      <c r="E84" s="170">
        <f t="shared" si="36"/>
        <v>141451</v>
      </c>
      <c r="F84" s="170">
        <f>SUM(F82:F83)</f>
        <v>15716.777777777777</v>
      </c>
      <c r="G84" s="141"/>
      <c r="H84" s="171">
        <f t="shared" si="36"/>
        <v>0</v>
      </c>
      <c r="I84" s="171">
        <f t="shared" si="36"/>
        <v>169630</v>
      </c>
      <c r="J84" s="172">
        <f t="shared" si="36"/>
        <v>14135.833333333334</v>
      </c>
      <c r="K84" s="173"/>
    </row>
    <row r="85" spans="1:11" ht="11.25" customHeight="1" x14ac:dyDescent="0.35">
      <c r="A85" s="150"/>
      <c r="B85" s="150"/>
      <c r="C85" s="151"/>
      <c r="D85" s="151"/>
      <c r="E85" s="151"/>
      <c r="F85" s="151"/>
      <c r="G85" s="151"/>
      <c r="H85" s="171"/>
      <c r="I85" s="171"/>
      <c r="J85" s="172"/>
    </row>
    <row r="86" spans="1:11" x14ac:dyDescent="0.35">
      <c r="A86" s="169" t="s">
        <v>84</v>
      </c>
      <c r="B86" s="150"/>
      <c r="C86" s="151"/>
      <c r="D86" s="151"/>
      <c r="E86" s="151"/>
      <c r="F86" s="151"/>
      <c r="G86" s="151"/>
      <c r="H86" s="171"/>
      <c r="I86" s="171"/>
      <c r="J86" s="172"/>
    </row>
    <row r="87" spans="1:11" x14ac:dyDescent="0.35">
      <c r="A87" s="150" t="s">
        <v>63</v>
      </c>
      <c r="B87" s="150">
        <v>3</v>
      </c>
      <c r="C87" s="163">
        <v>35806.879999999997</v>
      </c>
      <c r="D87" s="164">
        <v>13020</v>
      </c>
      <c r="E87" s="175">
        <v>9765</v>
      </c>
      <c r="F87" s="175">
        <f>E87/9</f>
        <v>1085</v>
      </c>
      <c r="G87" s="141"/>
      <c r="H87" s="176">
        <v>0</v>
      </c>
      <c r="I87" s="176">
        <f t="shared" si="28"/>
        <v>13020</v>
      </c>
      <c r="J87" s="177">
        <f t="shared" si="19"/>
        <v>1085</v>
      </c>
    </row>
    <row r="88" spans="1:11" x14ac:dyDescent="0.35">
      <c r="A88" s="169" t="s">
        <v>93</v>
      </c>
      <c r="B88" s="150"/>
      <c r="C88" s="170">
        <f>SUM(C85:C87)</f>
        <v>35806.879999999997</v>
      </c>
      <c r="D88" s="170">
        <f t="shared" ref="D88:J88" si="37">SUM(D85:D87)</f>
        <v>13020</v>
      </c>
      <c r="E88" s="170">
        <f t="shared" si="37"/>
        <v>9765</v>
      </c>
      <c r="F88" s="170">
        <f>SUM(F87)</f>
        <v>1085</v>
      </c>
      <c r="G88" s="141"/>
      <c r="H88" s="171">
        <f t="shared" si="37"/>
        <v>0</v>
      </c>
      <c r="I88" s="171">
        <f t="shared" si="37"/>
        <v>13020</v>
      </c>
      <c r="J88" s="172">
        <f t="shared" si="37"/>
        <v>1085</v>
      </c>
      <c r="K88" s="173"/>
    </row>
    <row r="89" spans="1:11" ht="12" customHeight="1" x14ac:dyDescent="0.35">
      <c r="A89" s="169"/>
      <c r="B89" s="150"/>
      <c r="C89" s="170"/>
      <c r="D89" s="170"/>
      <c r="E89" s="170"/>
      <c r="F89" s="170"/>
      <c r="G89" s="170"/>
      <c r="H89" s="171"/>
      <c r="I89" s="171"/>
      <c r="J89" s="172"/>
    </row>
    <row r="90" spans="1:11" hidden="1" x14ac:dyDescent="0.35">
      <c r="A90" s="150" t="s">
        <v>380</v>
      </c>
      <c r="B90" s="150">
        <v>3</v>
      </c>
      <c r="C90" s="151">
        <v>0</v>
      </c>
      <c r="D90" s="151">
        <f t="shared" ref="D90:D93" si="38">C90/3</f>
        <v>0</v>
      </c>
      <c r="E90" s="151">
        <f t="shared" si="27"/>
        <v>0</v>
      </c>
      <c r="F90" s="151">
        <f t="shared" ref="F90:F93" si="39">E90/9</f>
        <v>0</v>
      </c>
      <c r="G90" s="151"/>
      <c r="H90" s="171">
        <f>D90*$N$8</f>
        <v>0</v>
      </c>
      <c r="I90" s="171">
        <f t="shared" si="28"/>
        <v>0</v>
      </c>
      <c r="J90" s="172">
        <f t="shared" si="19"/>
        <v>0</v>
      </c>
      <c r="K90" s="173"/>
    </row>
    <row r="91" spans="1:11" hidden="1" x14ac:dyDescent="0.35">
      <c r="A91" s="150" t="s">
        <v>381</v>
      </c>
      <c r="B91" s="150">
        <v>3</v>
      </c>
      <c r="C91" s="151">
        <v>0</v>
      </c>
      <c r="D91" s="151">
        <f t="shared" si="38"/>
        <v>0</v>
      </c>
      <c r="E91" s="151">
        <f t="shared" si="27"/>
        <v>0</v>
      </c>
      <c r="F91" s="151">
        <f t="shared" si="39"/>
        <v>0</v>
      </c>
      <c r="G91" s="151"/>
      <c r="H91" s="171">
        <f>D91*$N$8</f>
        <v>0</v>
      </c>
      <c r="I91" s="171">
        <f t="shared" si="28"/>
        <v>0</v>
      </c>
      <c r="J91" s="172">
        <f t="shared" si="19"/>
        <v>0</v>
      </c>
    </row>
    <row r="92" spans="1:11" hidden="1" x14ac:dyDescent="0.35">
      <c r="A92" s="150" t="s">
        <v>382</v>
      </c>
      <c r="B92" s="150">
        <v>3</v>
      </c>
      <c r="C92" s="151">
        <v>0</v>
      </c>
      <c r="D92" s="141">
        <f t="shared" si="38"/>
        <v>0</v>
      </c>
      <c r="E92" s="170">
        <f t="shared" si="27"/>
        <v>0</v>
      </c>
      <c r="F92" s="170">
        <f t="shared" si="39"/>
        <v>0</v>
      </c>
      <c r="G92" s="170"/>
      <c r="H92" s="171">
        <f>D92*$N$8</f>
        <v>0</v>
      </c>
      <c r="I92" s="171">
        <f t="shared" si="28"/>
        <v>0</v>
      </c>
      <c r="J92" s="172">
        <f t="shared" si="19"/>
        <v>0</v>
      </c>
      <c r="K92" s="173"/>
    </row>
    <row r="93" spans="1:11" hidden="1" x14ac:dyDescent="0.35">
      <c r="A93" s="150" t="s">
        <v>383</v>
      </c>
      <c r="B93" s="150">
        <v>3</v>
      </c>
      <c r="C93" s="151">
        <v>0</v>
      </c>
      <c r="D93" s="141">
        <f t="shared" si="38"/>
        <v>0</v>
      </c>
      <c r="E93" s="170">
        <f t="shared" si="27"/>
        <v>0</v>
      </c>
      <c r="F93" s="170">
        <f t="shared" si="39"/>
        <v>0</v>
      </c>
      <c r="G93" s="170"/>
      <c r="H93" s="171">
        <f>D93*$N$8</f>
        <v>0</v>
      </c>
      <c r="I93" s="171">
        <f t="shared" ref="I93" si="40">D93+H93</f>
        <v>0</v>
      </c>
      <c r="J93" s="172">
        <f t="shared" ref="J93:J100" si="41">I93/12</f>
        <v>0</v>
      </c>
    </row>
    <row r="94" spans="1:11" x14ac:dyDescent="0.35">
      <c r="A94" s="169" t="s">
        <v>458</v>
      </c>
      <c r="B94" s="150"/>
      <c r="C94" s="151"/>
      <c r="D94" s="141"/>
      <c r="E94" s="170"/>
      <c r="F94" s="170"/>
      <c r="G94" s="170"/>
      <c r="H94" s="171"/>
      <c r="I94" s="171"/>
      <c r="J94" s="172"/>
    </row>
    <row r="95" spans="1:11" x14ac:dyDescent="0.35">
      <c r="A95" s="150" t="s">
        <v>265</v>
      </c>
      <c r="B95" s="150">
        <v>3</v>
      </c>
      <c r="C95" s="151">
        <v>17108</v>
      </c>
      <c r="D95" s="141">
        <v>14000</v>
      </c>
      <c r="E95" s="170">
        <v>2773</v>
      </c>
      <c r="F95" s="170">
        <f>E95/9</f>
        <v>308.11111111111109</v>
      </c>
      <c r="G95" s="170"/>
      <c r="H95" s="171">
        <v>0</v>
      </c>
      <c r="I95" s="171">
        <v>14000</v>
      </c>
      <c r="J95" s="172">
        <f t="shared" si="41"/>
        <v>1166.6666666666667</v>
      </c>
      <c r="K95" s="173" t="s">
        <v>598</v>
      </c>
    </row>
    <row r="96" spans="1:11" x14ac:dyDescent="0.35">
      <c r="A96" s="150" t="s">
        <v>358</v>
      </c>
      <c r="B96" s="150">
        <v>3</v>
      </c>
      <c r="C96" s="151">
        <v>11472</v>
      </c>
      <c r="D96" s="141">
        <v>18900</v>
      </c>
      <c r="E96" s="170">
        <v>0</v>
      </c>
      <c r="F96" s="170">
        <f t="shared" ref="F96:F99" si="42">E96/9</f>
        <v>0</v>
      </c>
      <c r="G96" s="170"/>
      <c r="H96" s="171">
        <v>0</v>
      </c>
      <c r="I96" s="171">
        <v>0</v>
      </c>
      <c r="J96" s="172">
        <f t="shared" si="41"/>
        <v>0</v>
      </c>
      <c r="K96" s="134" t="s">
        <v>641</v>
      </c>
    </row>
    <row r="97" spans="1:11" ht="42" x14ac:dyDescent="0.35">
      <c r="A97" s="150" t="s">
        <v>359</v>
      </c>
      <c r="B97" s="150">
        <v>3</v>
      </c>
      <c r="C97" s="151">
        <v>9276.7099999999991</v>
      </c>
      <c r="D97" s="141">
        <v>3000</v>
      </c>
      <c r="E97" s="170">
        <v>1279</v>
      </c>
      <c r="F97" s="170">
        <f t="shared" si="42"/>
        <v>142.11111111111111</v>
      </c>
      <c r="G97" s="170"/>
      <c r="H97" s="171">
        <v>0</v>
      </c>
      <c r="I97" s="171">
        <v>7500</v>
      </c>
      <c r="J97" s="172">
        <f t="shared" si="41"/>
        <v>625</v>
      </c>
      <c r="K97" s="173" t="s">
        <v>649</v>
      </c>
    </row>
    <row r="98" spans="1:11" hidden="1" x14ac:dyDescent="0.35">
      <c r="A98" s="150" t="s">
        <v>64</v>
      </c>
      <c r="B98" s="150">
        <v>3</v>
      </c>
      <c r="C98" s="151">
        <v>2466.65</v>
      </c>
      <c r="D98" s="141">
        <v>0</v>
      </c>
      <c r="E98" s="170">
        <f t="shared" ref="E98" si="43">D98/12</f>
        <v>0</v>
      </c>
      <c r="F98" s="170">
        <f t="shared" si="42"/>
        <v>0</v>
      </c>
      <c r="G98" s="170"/>
      <c r="H98" s="171">
        <f>D98*$N$8</f>
        <v>0</v>
      </c>
      <c r="I98" s="171">
        <v>0</v>
      </c>
      <c r="J98" s="172">
        <f t="shared" si="41"/>
        <v>0</v>
      </c>
      <c r="K98" s="173"/>
    </row>
    <row r="99" spans="1:11" x14ac:dyDescent="0.35">
      <c r="A99" s="150" t="s">
        <v>26</v>
      </c>
      <c r="B99" s="150">
        <v>3</v>
      </c>
      <c r="C99" s="151">
        <v>14856.41</v>
      </c>
      <c r="D99" s="141">
        <v>8000</v>
      </c>
      <c r="E99" s="170">
        <v>2721</v>
      </c>
      <c r="F99" s="170">
        <f t="shared" si="42"/>
        <v>302.33333333333331</v>
      </c>
      <c r="G99" s="170"/>
      <c r="H99" s="171">
        <f>D99*$N$8</f>
        <v>240</v>
      </c>
      <c r="I99" s="171">
        <v>0</v>
      </c>
      <c r="J99" s="172">
        <f t="shared" si="41"/>
        <v>0</v>
      </c>
      <c r="K99" s="134" t="s">
        <v>641</v>
      </c>
    </row>
    <row r="100" spans="1:11" x14ac:dyDescent="0.35">
      <c r="A100" s="150" t="s">
        <v>65</v>
      </c>
      <c r="B100" s="150">
        <v>3</v>
      </c>
      <c r="C100" s="163">
        <v>1167.5</v>
      </c>
      <c r="D100" s="164">
        <v>600</v>
      </c>
      <c r="E100" s="175">
        <v>1821</v>
      </c>
      <c r="F100" s="175">
        <f>E100/9</f>
        <v>202.33333333333334</v>
      </c>
      <c r="G100" s="141"/>
      <c r="H100" s="176">
        <v>0</v>
      </c>
      <c r="I100" s="176">
        <v>0</v>
      </c>
      <c r="J100" s="177">
        <f t="shared" si="41"/>
        <v>0</v>
      </c>
      <c r="K100" s="134" t="s">
        <v>641</v>
      </c>
    </row>
    <row r="101" spans="1:11" ht="21.75" thickBot="1" x14ac:dyDescent="0.4">
      <c r="A101" s="169" t="s">
        <v>320</v>
      </c>
      <c r="B101" s="150"/>
      <c r="C101" s="170">
        <f>SUM(C92:C100)</f>
        <v>56347.270000000004</v>
      </c>
      <c r="D101" s="170">
        <f t="shared" ref="D101:E101" si="44">SUM(D92:D100)</f>
        <v>44500</v>
      </c>
      <c r="E101" s="170">
        <f t="shared" si="44"/>
        <v>8594</v>
      </c>
      <c r="F101" s="170">
        <f>SUM(F89:F100)</f>
        <v>954.8888888888888</v>
      </c>
      <c r="G101" s="141"/>
      <c r="H101" s="190">
        <f>SUM(H92:H100)</f>
        <v>240</v>
      </c>
      <c r="I101" s="191">
        <f>SUM(I92:I100)</f>
        <v>21500</v>
      </c>
      <c r="J101" s="192">
        <f>SUM(J92:J100)</f>
        <v>1791.6666666666667</v>
      </c>
      <c r="K101" s="173"/>
    </row>
    <row r="102" spans="1:11" x14ac:dyDescent="0.35">
      <c r="K102" s="173"/>
    </row>
  </sheetData>
  <pageMargins left="0.7" right="0.28000000000000003" top="0.42" bottom="0.17" header="0.24" footer="0.17"/>
  <pageSetup scale="41" fitToWidth="2" fitToHeight="2" orientation="portrait" r:id="rId1"/>
  <rowBreaks count="1" manualBreakCount="1">
    <brk id="6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04"/>
  <sheetViews>
    <sheetView zoomScale="80" zoomScaleNormal="80" workbookViewId="0">
      <pane xSplit="3" ySplit="4" topLeftCell="D48" activePane="bottomRight" state="frozen"/>
      <selection activeCell="I38" sqref="I38"/>
      <selection pane="topRight" activeCell="I38" sqref="I38"/>
      <selection pane="bottomLeft" activeCell="I38" sqref="I38"/>
      <selection pane="bottomRight" activeCell="A62" sqref="A62:XFD63"/>
    </sheetView>
  </sheetViews>
  <sheetFormatPr defaultRowHeight="21" x14ac:dyDescent="0.35"/>
  <cols>
    <col min="1" max="1" width="55" style="134" bestFit="1" customWidth="1"/>
    <col min="2" max="2" width="9.140625" style="134" hidden="1" customWidth="1"/>
    <col min="3" max="3" width="11.140625" style="134" hidden="1" customWidth="1"/>
    <col min="4" max="4" width="18.85546875" style="134" bestFit="1" customWidth="1"/>
    <col min="5" max="5" width="16.28515625" style="134" bestFit="1" customWidth="1"/>
    <col min="6" max="6" width="14.28515625" style="134" bestFit="1" customWidth="1"/>
    <col min="7" max="7" width="4.140625" style="134" customWidth="1"/>
    <col min="8" max="8" width="0" style="134" hidden="1" customWidth="1"/>
    <col min="9" max="9" width="33.5703125" style="134" customWidth="1"/>
    <col min="10" max="10" width="13.28515625" style="134" bestFit="1" customWidth="1"/>
    <col min="11" max="11" width="64.42578125" style="134" bestFit="1" customWidth="1"/>
    <col min="12" max="12" width="12.140625" style="134" bestFit="1" customWidth="1"/>
    <col min="13" max="13" width="9.140625" style="134"/>
    <col min="14" max="14" width="9.5703125" style="134" bestFit="1" customWidth="1"/>
    <col min="15" max="16384" width="9.140625" style="134"/>
  </cols>
  <sheetData>
    <row r="1" spans="1:15" x14ac:dyDescent="0.35">
      <c r="I1" s="135" t="str">
        <f>'Redwood Village'!I1</f>
        <v>Projected Annual Budget 2016</v>
      </c>
      <c r="J1" s="136"/>
      <c r="K1" s="137"/>
    </row>
    <row r="2" spans="1:15" x14ac:dyDescent="0.35">
      <c r="I2" s="138" t="s">
        <v>395</v>
      </c>
      <c r="J2" s="139"/>
      <c r="K2" s="173" t="s">
        <v>600</v>
      </c>
    </row>
    <row r="3" spans="1:15" ht="21.75" thickBot="1" x14ac:dyDescent="0.4">
      <c r="A3" s="36" t="s">
        <v>482</v>
      </c>
      <c r="D3" s="36"/>
      <c r="G3" s="170"/>
      <c r="I3" s="142"/>
      <c r="J3" s="139"/>
      <c r="K3" s="140"/>
    </row>
    <row r="4" spans="1:15" s="149" customFormat="1" ht="63.75" thickBot="1" x14ac:dyDescent="0.4">
      <c r="A4" s="143" t="s">
        <v>77</v>
      </c>
      <c r="B4" s="143" t="s">
        <v>78</v>
      </c>
      <c r="C4" s="143" t="s">
        <v>79</v>
      </c>
      <c r="D4" s="144" t="str">
        <f>'Redwood Village'!D4</f>
        <v>2015 Annual Budget</v>
      </c>
      <c r="E4" s="144" t="str">
        <f>'Redwood Village'!E4</f>
        <v>YTD Actual FY 2015 @ 9/30/15</v>
      </c>
      <c r="F4" s="144" t="str">
        <f>'Redwood Village'!F4</f>
        <v>FY 2015 - 9 month Avg</v>
      </c>
      <c r="G4" s="170"/>
      <c r="H4" s="145"/>
      <c r="I4" s="146" t="s">
        <v>430</v>
      </c>
      <c r="J4" s="215" t="s">
        <v>431</v>
      </c>
      <c r="K4" s="148"/>
      <c r="L4" s="201"/>
      <c r="M4" s="201"/>
      <c r="N4" s="201"/>
      <c r="O4" s="201"/>
    </row>
    <row r="5" spans="1:15" x14ac:dyDescent="0.35">
      <c r="A5" s="150" t="s">
        <v>33</v>
      </c>
      <c r="B5" s="150">
        <v>3</v>
      </c>
      <c r="C5" s="170">
        <f>-701865-198165</f>
        <v>-900030</v>
      </c>
      <c r="D5" s="141">
        <v>-319800</v>
      </c>
      <c r="E5" s="141">
        <v>-242765</v>
      </c>
      <c r="F5" s="141">
        <f>E5/9</f>
        <v>-26973.888888888891</v>
      </c>
      <c r="G5" s="170"/>
      <c r="H5" s="155">
        <v>0</v>
      </c>
      <c r="I5" s="152">
        <v>-326100</v>
      </c>
      <c r="J5" s="216">
        <f>I5/12</f>
        <v>-27175</v>
      </c>
      <c r="K5" s="158"/>
      <c r="L5" s="206">
        <f>SUM(E5)+(F5*3)*1.03</f>
        <v>-326114.31666666665</v>
      </c>
      <c r="N5" s="36" t="s">
        <v>80</v>
      </c>
    </row>
    <row r="6" spans="1:15" x14ac:dyDescent="0.35">
      <c r="A6" s="150" t="s">
        <v>328</v>
      </c>
      <c r="B6" s="150">
        <v>3</v>
      </c>
      <c r="C6" s="170">
        <f>-783167-360733</f>
        <v>-1143900</v>
      </c>
      <c r="D6" s="141">
        <v>-371290</v>
      </c>
      <c r="E6" s="141">
        <v>-275554</v>
      </c>
      <c r="F6" s="141">
        <f t="shared" ref="F6:F13" si="0">E6/9</f>
        <v>-30617.111111111109</v>
      </c>
      <c r="G6" s="141"/>
      <c r="H6" s="155">
        <v>0</v>
      </c>
      <c r="I6" s="155">
        <v>-370160</v>
      </c>
      <c r="J6" s="217">
        <f>I6/12</f>
        <v>-30846.666666666668</v>
      </c>
      <c r="L6" s="206">
        <f t="shared" ref="L6:L14" si="1">SUM(E6)+(F6*3)*1.03</f>
        <v>-370160.87333333335</v>
      </c>
      <c r="N6" s="218">
        <v>6.3E-2</v>
      </c>
    </row>
    <row r="7" spans="1:15" x14ac:dyDescent="0.35">
      <c r="A7" s="150" t="s">
        <v>34</v>
      </c>
      <c r="B7" s="150">
        <v>3</v>
      </c>
      <c r="C7" s="170">
        <f>28237.76+9336</f>
        <v>37573.759999999995</v>
      </c>
      <c r="D7" s="141">
        <v>6390</v>
      </c>
      <c r="E7" s="141">
        <v>9791</v>
      </c>
      <c r="F7" s="141">
        <f t="shared" si="0"/>
        <v>1087.8888888888889</v>
      </c>
      <c r="G7" s="141"/>
      <c r="H7" s="155">
        <v>0</v>
      </c>
      <c r="I7" s="155">
        <v>6520</v>
      </c>
      <c r="J7" s="217">
        <f t="shared" ref="J7:J14" si="2">I7/12</f>
        <v>543.33333333333337</v>
      </c>
      <c r="K7" s="173" t="s">
        <v>555</v>
      </c>
      <c r="L7" s="206">
        <f>SUM(I5)*0.02</f>
        <v>-6522</v>
      </c>
      <c r="N7" s="36" t="s">
        <v>396</v>
      </c>
    </row>
    <row r="8" spans="1:15" x14ac:dyDescent="0.35">
      <c r="A8" s="150" t="s">
        <v>35</v>
      </c>
      <c r="B8" s="150">
        <v>3</v>
      </c>
      <c r="C8" s="170">
        <f>-945.32+71</f>
        <v>-874.32</v>
      </c>
      <c r="D8" s="141">
        <v>-510</v>
      </c>
      <c r="E8" s="141">
        <v>-232</v>
      </c>
      <c r="F8" s="141">
        <f t="shared" si="0"/>
        <v>-25.777777777777779</v>
      </c>
      <c r="G8" s="141"/>
      <c r="H8" s="155">
        <v>0</v>
      </c>
      <c r="I8" s="155">
        <v>-310</v>
      </c>
      <c r="J8" s="217">
        <f t="shared" si="2"/>
        <v>-25.833333333333332</v>
      </c>
      <c r="L8" s="206">
        <f t="shared" si="1"/>
        <v>-311.65333333333336</v>
      </c>
      <c r="N8" s="158">
        <v>0.03</v>
      </c>
    </row>
    <row r="9" spans="1:15" x14ac:dyDescent="0.35">
      <c r="A9" s="150" t="s">
        <v>329</v>
      </c>
      <c r="B9" s="150">
        <v>3</v>
      </c>
      <c r="C9" s="170">
        <v>0</v>
      </c>
      <c r="D9" s="141">
        <v>0</v>
      </c>
      <c r="E9" s="141">
        <v>-15</v>
      </c>
      <c r="F9" s="141">
        <f t="shared" si="0"/>
        <v>-1.6666666666666667</v>
      </c>
      <c r="G9" s="141"/>
      <c r="H9" s="155">
        <f t="shared" ref="H9:H14" si="3">D9*$N$8</f>
        <v>0</v>
      </c>
      <c r="I9" s="155">
        <v>-20</v>
      </c>
      <c r="J9" s="217">
        <f t="shared" si="2"/>
        <v>-1.6666666666666667</v>
      </c>
      <c r="L9" s="206">
        <f t="shared" si="1"/>
        <v>-20.149999999999999</v>
      </c>
    </row>
    <row r="10" spans="1:15" x14ac:dyDescent="0.35">
      <c r="A10" s="150" t="s">
        <v>330</v>
      </c>
      <c r="B10" s="150">
        <v>3</v>
      </c>
      <c r="C10" s="170">
        <v>0</v>
      </c>
      <c r="D10" s="141">
        <v>0</v>
      </c>
      <c r="E10" s="141">
        <v>-53</v>
      </c>
      <c r="F10" s="141">
        <f t="shared" si="0"/>
        <v>-5.8888888888888893</v>
      </c>
      <c r="G10" s="141"/>
      <c r="H10" s="155">
        <f t="shared" si="3"/>
        <v>0</v>
      </c>
      <c r="I10" s="155">
        <v>-70</v>
      </c>
      <c r="J10" s="217">
        <f t="shared" si="2"/>
        <v>-5.833333333333333</v>
      </c>
      <c r="L10" s="206">
        <f t="shared" si="1"/>
        <v>-71.196666666666673</v>
      </c>
    </row>
    <row r="11" spans="1:15" hidden="1" x14ac:dyDescent="0.35">
      <c r="A11" s="150" t="s">
        <v>331</v>
      </c>
      <c r="B11" s="150">
        <v>3</v>
      </c>
      <c r="C11" s="170">
        <v>0</v>
      </c>
      <c r="D11" s="141">
        <v>0</v>
      </c>
      <c r="E11" s="141">
        <f t="shared" ref="E11" si="4">D11/12</f>
        <v>0</v>
      </c>
      <c r="F11" s="141">
        <f t="shared" si="0"/>
        <v>0</v>
      </c>
      <c r="G11" s="141"/>
      <c r="H11" s="155">
        <f t="shared" si="3"/>
        <v>0</v>
      </c>
      <c r="I11" s="155">
        <f t="shared" ref="I11" si="5">D11+H11</f>
        <v>0</v>
      </c>
      <c r="J11" s="217">
        <f t="shared" si="2"/>
        <v>0</v>
      </c>
      <c r="L11" s="206">
        <f t="shared" si="1"/>
        <v>0</v>
      </c>
    </row>
    <row r="12" spans="1:15" x14ac:dyDescent="0.35">
      <c r="A12" s="150" t="s">
        <v>300</v>
      </c>
      <c r="B12" s="150">
        <v>3</v>
      </c>
      <c r="C12" s="170">
        <f>-9153.68-2003</f>
        <v>-11156.68</v>
      </c>
      <c r="D12" s="141">
        <v>-4270</v>
      </c>
      <c r="E12" s="141">
        <v>-3109</v>
      </c>
      <c r="F12" s="141">
        <f t="shared" si="0"/>
        <v>-345.44444444444446</v>
      </c>
      <c r="G12" s="141"/>
      <c r="H12" s="155">
        <v>0</v>
      </c>
      <c r="I12" s="155">
        <v>-4180</v>
      </c>
      <c r="J12" s="217">
        <f t="shared" si="2"/>
        <v>-348.33333333333331</v>
      </c>
      <c r="L12" s="206">
        <f t="shared" si="1"/>
        <v>-4176.4233333333341</v>
      </c>
    </row>
    <row r="13" spans="1:15" x14ac:dyDescent="0.35">
      <c r="A13" s="150" t="s">
        <v>37</v>
      </c>
      <c r="B13" s="150">
        <v>3</v>
      </c>
      <c r="C13" s="170">
        <f>-366.33-41</f>
        <v>-407.33</v>
      </c>
      <c r="D13" s="141">
        <v>-4200</v>
      </c>
      <c r="E13" s="141">
        <v>-270</v>
      </c>
      <c r="F13" s="141">
        <f t="shared" si="0"/>
        <v>-30</v>
      </c>
      <c r="G13" s="141"/>
      <c r="H13" s="155">
        <v>0</v>
      </c>
      <c r="I13" s="155">
        <v>-3800</v>
      </c>
      <c r="J13" s="217">
        <f t="shared" si="2"/>
        <v>-316.66666666666669</v>
      </c>
      <c r="L13" s="206">
        <f t="shared" si="1"/>
        <v>-362.7</v>
      </c>
    </row>
    <row r="14" spans="1:15" x14ac:dyDescent="0.35">
      <c r="A14" s="150" t="s">
        <v>219</v>
      </c>
      <c r="B14" s="150">
        <v>3</v>
      </c>
      <c r="C14" s="175">
        <f>-6264.8-84</f>
        <v>-6348.8</v>
      </c>
      <c r="D14" s="164">
        <v>-500</v>
      </c>
      <c r="E14" s="164">
        <v>-8179</v>
      </c>
      <c r="F14" s="164">
        <f>E14/9</f>
        <v>-908.77777777777783</v>
      </c>
      <c r="G14" s="170"/>
      <c r="H14" s="165">
        <f t="shared" si="3"/>
        <v>-15</v>
      </c>
      <c r="I14" s="165">
        <v>-500</v>
      </c>
      <c r="J14" s="219">
        <f t="shared" si="2"/>
        <v>-41.666666666666664</v>
      </c>
      <c r="K14" s="134" t="s">
        <v>631</v>
      </c>
      <c r="L14" s="206">
        <f t="shared" si="1"/>
        <v>-10987.123333333333</v>
      </c>
    </row>
    <row r="15" spans="1:15" x14ac:dyDescent="0.35">
      <c r="A15" s="169" t="s">
        <v>81</v>
      </c>
      <c r="B15" s="150"/>
      <c r="C15" s="170">
        <f>SUM(C5:C14)</f>
        <v>-2025143.37</v>
      </c>
      <c r="D15" s="141">
        <f t="shared" ref="D15:E15" si="6">SUM(D5:D14)</f>
        <v>-694180</v>
      </c>
      <c r="E15" s="141">
        <f t="shared" si="6"/>
        <v>-520386</v>
      </c>
      <c r="F15" s="141">
        <f>SUM(F5:F14)</f>
        <v>-57820.666666666672</v>
      </c>
      <c r="G15" s="170"/>
      <c r="H15" s="155">
        <f>SUM(H5:H14)</f>
        <v>-15</v>
      </c>
      <c r="I15" s="155">
        <f t="shared" ref="I15:J15" si="7">SUM(I5:I14)</f>
        <v>-698620</v>
      </c>
      <c r="J15" s="156">
        <f t="shared" si="7"/>
        <v>-58218.333333333336</v>
      </c>
    </row>
    <row r="16" spans="1:15" x14ac:dyDescent="0.35">
      <c r="A16" s="150"/>
      <c r="B16" s="150"/>
      <c r="C16" s="170"/>
      <c r="D16" s="141"/>
      <c r="E16" s="141"/>
      <c r="F16" s="141"/>
      <c r="G16" s="141"/>
      <c r="H16" s="155"/>
      <c r="I16" s="155"/>
      <c r="J16" s="156"/>
    </row>
    <row r="17" spans="1:12" x14ac:dyDescent="0.35">
      <c r="A17" s="150" t="s">
        <v>82</v>
      </c>
      <c r="B17" s="150"/>
      <c r="C17" s="170">
        <f>C45</f>
        <v>509229.22000000003</v>
      </c>
      <c r="D17" s="141">
        <f t="shared" ref="D17:E17" si="8">D45</f>
        <v>154950.39999999999</v>
      </c>
      <c r="E17" s="141">
        <f t="shared" si="8"/>
        <v>121968</v>
      </c>
      <c r="F17" s="141">
        <f>E17/9</f>
        <v>13552</v>
      </c>
      <c r="G17" s="141"/>
      <c r="H17" s="155">
        <f>H45</f>
        <v>3337.5120000000002</v>
      </c>
      <c r="I17" s="155">
        <f>I45</f>
        <v>167330</v>
      </c>
      <c r="J17" s="156">
        <f>J45</f>
        <v>13944.166666666664</v>
      </c>
    </row>
    <row r="18" spans="1:12" x14ac:dyDescent="0.35">
      <c r="A18" s="150" t="s">
        <v>90</v>
      </c>
      <c r="B18" s="150"/>
      <c r="C18" s="170">
        <f>C52</f>
        <v>229786.77</v>
      </c>
      <c r="D18" s="141">
        <f t="shared" ref="D18:E18" si="9">D52</f>
        <v>80700</v>
      </c>
      <c r="E18" s="141">
        <f t="shared" si="9"/>
        <v>53014</v>
      </c>
      <c r="F18" s="141">
        <f t="shared" ref="F18:F21" si="10">E18/9</f>
        <v>5890.4444444444443</v>
      </c>
      <c r="G18" s="141"/>
      <c r="H18" s="155">
        <f>H52</f>
        <v>5128.4000000000005</v>
      </c>
      <c r="I18" s="155">
        <f>I52</f>
        <v>73270</v>
      </c>
      <c r="J18" s="156">
        <f>J52</f>
        <v>6105.833333333333</v>
      </c>
      <c r="K18" s="173"/>
    </row>
    <row r="19" spans="1:12" x14ac:dyDescent="0.35">
      <c r="A19" s="150" t="s">
        <v>95</v>
      </c>
      <c r="B19" s="150"/>
      <c r="C19" s="170">
        <f>C68</f>
        <v>485651.50999999995</v>
      </c>
      <c r="D19" s="141">
        <f t="shared" ref="D19:E19" si="11">D68</f>
        <v>154890</v>
      </c>
      <c r="E19" s="141">
        <f t="shared" si="11"/>
        <v>100291</v>
      </c>
      <c r="F19" s="141">
        <f t="shared" si="10"/>
        <v>11143.444444444445</v>
      </c>
      <c r="G19" s="141"/>
      <c r="H19" s="155">
        <f>H68</f>
        <v>4646.7</v>
      </c>
      <c r="I19" s="155">
        <f>I68</f>
        <v>168210</v>
      </c>
      <c r="J19" s="156">
        <f>J68</f>
        <v>14017.5</v>
      </c>
    </row>
    <row r="20" spans="1:12" x14ac:dyDescent="0.35">
      <c r="A20" s="150" t="s">
        <v>83</v>
      </c>
      <c r="B20" s="150"/>
      <c r="C20" s="170">
        <f>C80</f>
        <v>171659.47999999998</v>
      </c>
      <c r="D20" s="141">
        <f t="shared" ref="D20:E20" si="12">D80</f>
        <v>161050</v>
      </c>
      <c r="E20" s="141">
        <f t="shared" si="12"/>
        <v>116962</v>
      </c>
      <c r="F20" s="141">
        <f t="shared" si="10"/>
        <v>12995.777777777777</v>
      </c>
      <c r="G20" s="141"/>
      <c r="H20" s="155">
        <f>H80</f>
        <v>8396.4989999999998</v>
      </c>
      <c r="I20" s="155">
        <f t="shared" ref="I20:J20" si="13">I80</f>
        <v>159370</v>
      </c>
      <c r="J20" s="156">
        <f t="shared" si="13"/>
        <v>13280.833333333332</v>
      </c>
      <c r="K20" s="173"/>
    </row>
    <row r="21" spans="1:12" x14ac:dyDescent="0.35">
      <c r="A21" s="150" t="s">
        <v>302</v>
      </c>
      <c r="B21" s="150"/>
      <c r="C21" s="170">
        <f>C101</f>
        <v>1253.3333333333333</v>
      </c>
      <c r="D21" s="141">
        <f>D85</f>
        <v>189300</v>
      </c>
      <c r="E21" s="141">
        <f>E85</f>
        <v>157750</v>
      </c>
      <c r="F21" s="141">
        <f t="shared" si="10"/>
        <v>17527.777777777777</v>
      </c>
      <c r="G21" s="141"/>
      <c r="H21" s="155">
        <f>H85</f>
        <v>0</v>
      </c>
      <c r="I21" s="155">
        <f>I85</f>
        <v>189300</v>
      </c>
      <c r="J21" s="156">
        <f>J85</f>
        <v>15775</v>
      </c>
      <c r="K21" s="173"/>
    </row>
    <row r="22" spans="1:12" x14ac:dyDescent="0.35">
      <c r="A22" s="150" t="s">
        <v>84</v>
      </c>
      <c r="B22" s="150"/>
      <c r="C22" s="170">
        <f>C89</f>
        <v>22362.799999999999</v>
      </c>
      <c r="D22" s="141">
        <f t="shared" ref="D22:E22" si="14">D89</f>
        <v>9930</v>
      </c>
      <c r="E22" s="141">
        <f t="shared" si="14"/>
        <v>7448</v>
      </c>
      <c r="F22" s="141">
        <f>E22/9</f>
        <v>827.55555555555554</v>
      </c>
      <c r="G22" s="141"/>
      <c r="H22" s="155">
        <f>H89</f>
        <v>0</v>
      </c>
      <c r="I22" s="155">
        <f>I89</f>
        <v>9930</v>
      </c>
      <c r="J22" s="156">
        <f>J89</f>
        <v>827.5</v>
      </c>
      <c r="K22" s="178"/>
      <c r="L22" s="208"/>
    </row>
    <row r="23" spans="1:12" x14ac:dyDescent="0.35">
      <c r="A23" s="150" t="s">
        <v>85</v>
      </c>
      <c r="B23" s="150"/>
      <c r="C23" s="175">
        <f>C102</f>
        <v>67883.986666666664</v>
      </c>
      <c r="D23" s="164">
        <f t="shared" ref="D23:E23" si="15">D102</f>
        <v>28500</v>
      </c>
      <c r="E23" s="164">
        <f t="shared" si="15"/>
        <v>7778</v>
      </c>
      <c r="F23" s="164">
        <f>E23/9</f>
        <v>864.22222222222217</v>
      </c>
      <c r="G23" s="170"/>
      <c r="H23" s="165">
        <f>H102</f>
        <v>0</v>
      </c>
      <c r="I23" s="165">
        <f>I102</f>
        <v>5000</v>
      </c>
      <c r="J23" s="167">
        <f>J102</f>
        <v>416.66666666666669</v>
      </c>
      <c r="K23" s="178"/>
    </row>
    <row r="24" spans="1:12" x14ac:dyDescent="0.35">
      <c r="A24" s="150" t="s">
        <v>86</v>
      </c>
      <c r="B24" s="150"/>
      <c r="C24" s="179">
        <f>SUM(C17:C23)</f>
        <v>1487827.0999999999</v>
      </c>
      <c r="D24" s="200">
        <f t="shared" ref="D24:F24" si="16">SUM(D17:D23)</f>
        <v>779320.4</v>
      </c>
      <c r="E24" s="200">
        <f t="shared" si="16"/>
        <v>565211</v>
      </c>
      <c r="F24" s="200">
        <f t="shared" si="16"/>
        <v>62801.222222222226</v>
      </c>
      <c r="G24" s="170"/>
      <c r="H24" s="165">
        <f>SUM(H17:H23)</f>
        <v>21509.111000000001</v>
      </c>
      <c r="I24" s="209">
        <f t="shared" ref="I24:J24" si="17">SUM(I17:I23)</f>
        <v>772410</v>
      </c>
      <c r="J24" s="210">
        <f t="shared" si="17"/>
        <v>64367.499999999993</v>
      </c>
      <c r="K24" s="178"/>
    </row>
    <row r="25" spans="1:12" x14ac:dyDescent="0.35">
      <c r="A25" s="150"/>
      <c r="B25" s="150"/>
      <c r="C25" s="170"/>
      <c r="D25" s="141"/>
      <c r="E25" s="141"/>
      <c r="F25" s="141"/>
      <c r="G25" s="141"/>
      <c r="H25" s="155"/>
      <c r="I25" s="155"/>
      <c r="J25" s="156"/>
      <c r="K25" s="178"/>
    </row>
    <row r="26" spans="1:12" ht="21.75" thickBot="1" x14ac:dyDescent="0.4">
      <c r="A26" s="182" t="s">
        <v>87</v>
      </c>
      <c r="B26" s="183"/>
      <c r="C26" s="184">
        <f>SUM(-C15-C24)</f>
        <v>537316.27000000025</v>
      </c>
      <c r="D26" s="185">
        <f t="shared" ref="D26:F26" si="18">SUM(D15+D24)</f>
        <v>85140.400000000023</v>
      </c>
      <c r="E26" s="185">
        <f t="shared" si="18"/>
        <v>44825</v>
      </c>
      <c r="F26" s="185">
        <f t="shared" si="18"/>
        <v>4980.5555555555547</v>
      </c>
      <c r="G26" s="185"/>
      <c r="H26" s="186">
        <f>SUM(-H15-H24)</f>
        <v>-21494.111000000001</v>
      </c>
      <c r="I26" s="186">
        <f t="shared" ref="I26:J26" si="19">SUM(I15+I24)</f>
        <v>73790</v>
      </c>
      <c r="J26" s="187">
        <f t="shared" si="19"/>
        <v>6149.166666666657</v>
      </c>
      <c r="K26" s="178"/>
    </row>
    <row r="27" spans="1:12" x14ac:dyDescent="0.35">
      <c r="A27" s="169" t="s">
        <v>454</v>
      </c>
      <c r="B27" s="150"/>
      <c r="C27" s="170"/>
      <c r="D27" s="141"/>
      <c r="E27" s="141"/>
      <c r="F27" s="141"/>
      <c r="G27" s="141"/>
      <c r="H27" s="155"/>
      <c r="I27" s="155"/>
      <c r="J27" s="156"/>
      <c r="K27" s="178"/>
    </row>
    <row r="28" spans="1:12" hidden="1" x14ac:dyDescent="0.35">
      <c r="A28" s="150" t="s">
        <v>38</v>
      </c>
      <c r="B28" s="211">
        <v>3</v>
      </c>
      <c r="C28" s="170">
        <f>SUM('[2]2014'!C12:E12)+18</f>
        <v>4282.53</v>
      </c>
      <c r="D28" s="170">
        <v>0</v>
      </c>
      <c r="E28" s="170">
        <v>0</v>
      </c>
      <c r="F28" s="170">
        <f>E28/9</f>
        <v>0</v>
      </c>
      <c r="G28" s="170"/>
      <c r="H28" s="171">
        <v>0</v>
      </c>
      <c r="I28" s="171">
        <v>0</v>
      </c>
      <c r="J28" s="172">
        <f t="shared" ref="J28" si="20">I28/12</f>
        <v>0</v>
      </c>
      <c r="K28" s="178"/>
    </row>
    <row r="29" spans="1:12" x14ac:dyDescent="0.35">
      <c r="A29" s="150" t="s">
        <v>39</v>
      </c>
      <c r="B29" s="150">
        <v>3</v>
      </c>
      <c r="C29" s="170">
        <f>186801.45+8343</f>
        <v>195144.45</v>
      </c>
      <c r="D29" s="170">
        <v>53500</v>
      </c>
      <c r="E29" s="170">
        <v>41996</v>
      </c>
      <c r="F29" s="170">
        <f t="shared" ref="F29:F43" si="21">E29/9</f>
        <v>4666.2222222222226</v>
      </c>
      <c r="G29" s="170"/>
      <c r="H29" s="171">
        <f>D29*$N$8</f>
        <v>1605</v>
      </c>
      <c r="I29" s="171">
        <v>56410</v>
      </c>
      <c r="J29" s="172">
        <f t="shared" ref="J29:J44" si="22">I29/12</f>
        <v>4700.833333333333</v>
      </c>
      <c r="K29" s="173"/>
      <c r="L29" s="134">
        <f t="shared" ref="L29:L44" si="23">SUM(E29)+(F29*3)*1.03</f>
        <v>56414.626666666671</v>
      </c>
    </row>
    <row r="30" spans="1:12" x14ac:dyDescent="0.35">
      <c r="A30" s="150" t="s">
        <v>332</v>
      </c>
      <c r="B30" s="150">
        <v>3</v>
      </c>
      <c r="C30" s="170">
        <f>10771.26-1799</f>
        <v>8972.26</v>
      </c>
      <c r="D30" s="170">
        <v>3080</v>
      </c>
      <c r="E30" s="170">
        <v>1835</v>
      </c>
      <c r="F30" s="170">
        <f t="shared" si="21"/>
        <v>203.88888888888889</v>
      </c>
      <c r="G30" s="170"/>
      <c r="H30" s="171">
        <f t="shared" ref="H30:H33" si="24">D30*$N$8</f>
        <v>92.399999999999991</v>
      </c>
      <c r="I30" s="171">
        <v>2470</v>
      </c>
      <c r="J30" s="172">
        <f t="shared" si="22"/>
        <v>205.83333333333334</v>
      </c>
      <c r="L30" s="134">
        <f t="shared" si="23"/>
        <v>2465.0166666666664</v>
      </c>
    </row>
    <row r="31" spans="1:12" x14ac:dyDescent="0.35">
      <c r="A31" s="150" t="s">
        <v>323</v>
      </c>
      <c r="B31" s="150">
        <v>3</v>
      </c>
      <c r="C31" s="170">
        <f>83+673</f>
        <v>756</v>
      </c>
      <c r="D31" s="170">
        <v>100</v>
      </c>
      <c r="E31" s="170">
        <v>257</v>
      </c>
      <c r="F31" s="170">
        <f t="shared" si="21"/>
        <v>28.555555555555557</v>
      </c>
      <c r="G31" s="170"/>
      <c r="H31" s="171">
        <f t="shared" si="24"/>
        <v>3</v>
      </c>
      <c r="I31" s="171">
        <v>350</v>
      </c>
      <c r="J31" s="172">
        <f t="shared" si="22"/>
        <v>29.166666666666668</v>
      </c>
      <c r="L31" s="134">
        <f t="shared" si="23"/>
        <v>345.23666666666668</v>
      </c>
    </row>
    <row r="32" spans="1:12" x14ac:dyDescent="0.35">
      <c r="A32" s="150" t="s">
        <v>432</v>
      </c>
      <c r="B32" s="150">
        <v>3</v>
      </c>
      <c r="C32" s="170">
        <f>2360+4369</f>
        <v>6729</v>
      </c>
      <c r="D32" s="170">
        <v>2310</v>
      </c>
      <c r="E32" s="170">
        <v>3001</v>
      </c>
      <c r="F32" s="170">
        <f t="shared" si="21"/>
        <v>333.44444444444446</v>
      </c>
      <c r="G32" s="170"/>
      <c r="H32" s="171">
        <f t="shared" si="24"/>
        <v>69.3</v>
      </c>
      <c r="I32" s="171">
        <v>4030</v>
      </c>
      <c r="J32" s="172">
        <f t="shared" si="22"/>
        <v>335.83333333333331</v>
      </c>
      <c r="L32" s="134">
        <f t="shared" si="23"/>
        <v>4031.3433333333332</v>
      </c>
    </row>
    <row r="33" spans="1:14" x14ac:dyDescent="0.35">
      <c r="A33" s="150" t="s">
        <v>333</v>
      </c>
      <c r="B33" s="150">
        <v>3</v>
      </c>
      <c r="C33" s="170">
        <f>20+127</f>
        <v>147</v>
      </c>
      <c r="D33" s="170">
        <v>100</v>
      </c>
      <c r="E33" s="170">
        <v>0</v>
      </c>
      <c r="F33" s="170">
        <f t="shared" si="21"/>
        <v>0</v>
      </c>
      <c r="G33" s="170"/>
      <c r="H33" s="171">
        <f t="shared" si="24"/>
        <v>3</v>
      </c>
      <c r="I33" s="171">
        <v>350</v>
      </c>
      <c r="J33" s="172">
        <f t="shared" si="22"/>
        <v>29.166666666666668</v>
      </c>
      <c r="L33" s="134">
        <f t="shared" si="23"/>
        <v>0</v>
      </c>
    </row>
    <row r="34" spans="1:14" x14ac:dyDescent="0.35">
      <c r="A34" s="150" t="s">
        <v>291</v>
      </c>
      <c r="B34" s="150">
        <v>3</v>
      </c>
      <c r="C34" s="170">
        <f>92721.03+28633</f>
        <v>121354.03</v>
      </c>
      <c r="D34" s="170">
        <v>43700</v>
      </c>
      <c r="E34" s="170">
        <v>32764</v>
      </c>
      <c r="F34" s="170">
        <f t="shared" si="21"/>
        <v>3640.4444444444443</v>
      </c>
      <c r="G34" s="170"/>
      <c r="H34" s="171">
        <v>0</v>
      </c>
      <c r="I34" s="171">
        <v>43990</v>
      </c>
      <c r="J34" s="172">
        <f t="shared" si="22"/>
        <v>3665.8333333333335</v>
      </c>
      <c r="K34" s="213" t="s">
        <v>638</v>
      </c>
      <c r="L34" s="134">
        <f>(I15-I8-I9-I10)*(1)*0.63</f>
        <v>-439878.6</v>
      </c>
    </row>
    <row r="35" spans="1:14" x14ac:dyDescent="0.35">
      <c r="A35" s="150" t="s">
        <v>334</v>
      </c>
      <c r="B35" s="150">
        <v>3</v>
      </c>
      <c r="C35" s="170">
        <f>79756.33+25332</f>
        <v>105088.33</v>
      </c>
      <c r="D35" s="170">
        <v>27190</v>
      </c>
      <c r="E35" s="170">
        <v>27040</v>
      </c>
      <c r="F35" s="170">
        <f t="shared" si="21"/>
        <v>3004.4444444444443</v>
      </c>
      <c r="G35" s="170"/>
      <c r="H35" s="171">
        <f t="shared" ref="H35:H44" si="25">D35*$N$8</f>
        <v>815.69999999999993</v>
      </c>
      <c r="I35" s="171">
        <v>36320</v>
      </c>
      <c r="J35" s="172">
        <f t="shared" si="22"/>
        <v>3026.6666666666665</v>
      </c>
      <c r="L35" s="134">
        <f t="shared" si="23"/>
        <v>36323.73333333333</v>
      </c>
    </row>
    <row r="36" spans="1:14" x14ac:dyDescent="0.35">
      <c r="A36" s="150" t="s">
        <v>335</v>
      </c>
      <c r="B36" s="150">
        <v>3</v>
      </c>
      <c r="C36" s="170">
        <f>10741.8-985</f>
        <v>9756.7999999999993</v>
      </c>
      <c r="D36" s="170">
        <v>2810</v>
      </c>
      <c r="E36" s="170">
        <v>0</v>
      </c>
      <c r="F36" s="170">
        <f t="shared" si="21"/>
        <v>0</v>
      </c>
      <c r="G36" s="170"/>
      <c r="H36" s="171">
        <f t="shared" si="25"/>
        <v>84.3</v>
      </c>
      <c r="I36" s="171">
        <v>1500</v>
      </c>
      <c r="J36" s="172">
        <f t="shared" si="22"/>
        <v>125</v>
      </c>
      <c r="L36" s="134">
        <f t="shared" si="23"/>
        <v>0</v>
      </c>
    </row>
    <row r="37" spans="1:14" x14ac:dyDescent="0.35">
      <c r="A37" s="150" t="s">
        <v>336</v>
      </c>
      <c r="B37" s="150">
        <v>3</v>
      </c>
      <c r="C37" s="170">
        <f>4360.58+1027</f>
        <v>5387.58</v>
      </c>
      <c r="D37" s="170">
        <v>2220</v>
      </c>
      <c r="E37" s="170">
        <v>1355</v>
      </c>
      <c r="F37" s="170">
        <f t="shared" si="21"/>
        <v>150.55555555555554</v>
      </c>
      <c r="G37" s="170"/>
      <c r="H37" s="171">
        <f t="shared" si="25"/>
        <v>66.599999999999994</v>
      </c>
      <c r="I37" s="171">
        <v>1820</v>
      </c>
      <c r="J37" s="172">
        <f t="shared" si="22"/>
        <v>151.66666666666666</v>
      </c>
      <c r="L37" s="134">
        <f t="shared" si="23"/>
        <v>1820.2166666666667</v>
      </c>
    </row>
    <row r="38" spans="1:14" x14ac:dyDescent="0.35">
      <c r="A38" s="150" t="s">
        <v>44</v>
      </c>
      <c r="B38" s="150">
        <v>3</v>
      </c>
      <c r="C38" s="170">
        <f>10693.72+2297</f>
        <v>12990.72</v>
      </c>
      <c r="D38" s="170">
        <v>4460</v>
      </c>
      <c r="E38" s="170">
        <v>3402</v>
      </c>
      <c r="F38" s="170">
        <f t="shared" si="21"/>
        <v>378</v>
      </c>
      <c r="G38" s="170"/>
      <c r="H38" s="171">
        <f t="shared" si="25"/>
        <v>133.79999999999998</v>
      </c>
      <c r="I38" s="171">
        <v>4570</v>
      </c>
      <c r="J38" s="172">
        <f t="shared" si="22"/>
        <v>380.83333333333331</v>
      </c>
      <c r="L38" s="134">
        <f t="shared" si="23"/>
        <v>4570.0200000000004</v>
      </c>
    </row>
    <row r="39" spans="1:14" x14ac:dyDescent="0.35">
      <c r="A39" s="150" t="s">
        <v>337</v>
      </c>
      <c r="B39" s="150">
        <v>3</v>
      </c>
      <c r="C39" s="170">
        <f>1769.75+3007</f>
        <v>4776.75</v>
      </c>
      <c r="D39" s="170">
        <v>1730.4</v>
      </c>
      <c r="E39" s="170">
        <v>1057</v>
      </c>
      <c r="F39" s="170">
        <f>E39/9</f>
        <v>117.44444444444444</v>
      </c>
      <c r="G39" s="170"/>
      <c r="H39" s="171">
        <f t="shared" si="25"/>
        <v>51.911999999999999</v>
      </c>
      <c r="I39" s="171">
        <v>1420</v>
      </c>
      <c r="J39" s="172">
        <f t="shared" si="22"/>
        <v>118.33333333333333</v>
      </c>
      <c r="L39" s="134">
        <f t="shared" si="23"/>
        <v>1419.9033333333332</v>
      </c>
    </row>
    <row r="40" spans="1:14" x14ac:dyDescent="0.35">
      <c r="A40" s="150" t="s">
        <v>338</v>
      </c>
      <c r="B40" s="150">
        <v>3</v>
      </c>
      <c r="C40" s="170">
        <f>2999.4+1543</f>
        <v>4542.3999999999996</v>
      </c>
      <c r="D40" s="170">
        <v>1560</v>
      </c>
      <c r="E40" s="170">
        <v>1135</v>
      </c>
      <c r="F40" s="170">
        <f t="shared" si="21"/>
        <v>126.11111111111111</v>
      </c>
      <c r="G40" s="170"/>
      <c r="H40" s="171">
        <f t="shared" si="25"/>
        <v>46.8</v>
      </c>
      <c r="I40" s="171">
        <v>1520</v>
      </c>
      <c r="J40" s="172">
        <f t="shared" si="22"/>
        <v>126.66666666666667</v>
      </c>
      <c r="L40" s="134">
        <f t="shared" si="23"/>
        <v>1524.6833333333334</v>
      </c>
    </row>
    <row r="41" spans="1:14" ht="42" x14ac:dyDescent="0.35">
      <c r="A41" s="150" t="s">
        <v>278</v>
      </c>
      <c r="B41" s="150">
        <v>3</v>
      </c>
      <c r="C41" s="170">
        <f>6913.27+1330</f>
        <v>8243.27</v>
      </c>
      <c r="D41" s="170">
        <v>3490</v>
      </c>
      <c r="E41" s="170">
        <v>2622</v>
      </c>
      <c r="F41" s="170">
        <f t="shared" si="21"/>
        <v>291.33333333333331</v>
      </c>
      <c r="G41" s="170"/>
      <c r="H41" s="171">
        <f t="shared" si="25"/>
        <v>104.7</v>
      </c>
      <c r="I41" s="171">
        <f>3520+1660</f>
        <v>5180</v>
      </c>
      <c r="J41" s="172">
        <f t="shared" si="22"/>
        <v>431.66666666666669</v>
      </c>
      <c r="K41" s="173" t="s">
        <v>652</v>
      </c>
      <c r="L41" s="134">
        <f t="shared" si="23"/>
        <v>3522.2200000000003</v>
      </c>
    </row>
    <row r="42" spans="1:14" x14ac:dyDescent="0.35">
      <c r="A42" s="150" t="s">
        <v>339</v>
      </c>
      <c r="B42" s="150">
        <v>3</v>
      </c>
      <c r="C42" s="170">
        <f>18309.04-5988</f>
        <v>12321.04</v>
      </c>
      <c r="D42" s="170">
        <v>4230</v>
      </c>
      <c r="E42" s="170">
        <v>2909</v>
      </c>
      <c r="F42" s="170">
        <f t="shared" si="21"/>
        <v>323.22222222222223</v>
      </c>
      <c r="G42" s="170"/>
      <c r="H42" s="171">
        <f t="shared" si="25"/>
        <v>126.89999999999999</v>
      </c>
      <c r="I42" s="171">
        <v>3910</v>
      </c>
      <c r="J42" s="172">
        <f t="shared" si="22"/>
        <v>325.83333333333331</v>
      </c>
      <c r="L42" s="134">
        <f t="shared" si="23"/>
        <v>3907.7566666666667</v>
      </c>
    </row>
    <row r="43" spans="1:14" x14ac:dyDescent="0.35">
      <c r="A43" s="150" t="s">
        <v>340</v>
      </c>
      <c r="B43" s="150">
        <v>3</v>
      </c>
      <c r="C43" s="170">
        <f>8231.82+3331</f>
        <v>11562.82</v>
      </c>
      <c r="D43" s="170">
        <v>3970</v>
      </c>
      <c r="E43" s="170">
        <v>2001</v>
      </c>
      <c r="F43" s="170">
        <f t="shared" si="21"/>
        <v>222.33333333333334</v>
      </c>
      <c r="G43" s="170"/>
      <c r="H43" s="171">
        <f t="shared" si="25"/>
        <v>119.1</v>
      </c>
      <c r="I43" s="171">
        <v>2690</v>
      </c>
      <c r="J43" s="172">
        <f t="shared" si="22"/>
        <v>224.16666666666666</v>
      </c>
      <c r="L43" s="134">
        <f t="shared" si="23"/>
        <v>2688.01</v>
      </c>
    </row>
    <row r="44" spans="1:14" x14ac:dyDescent="0.35">
      <c r="A44" s="150" t="s">
        <v>279</v>
      </c>
      <c r="B44" s="150">
        <v>3</v>
      </c>
      <c r="C44" s="175">
        <f>3492.77-2036</f>
        <v>1456.77</v>
      </c>
      <c r="D44" s="175">
        <v>500</v>
      </c>
      <c r="E44" s="175">
        <v>594</v>
      </c>
      <c r="F44" s="175">
        <f>E44/9</f>
        <v>66</v>
      </c>
      <c r="G44" s="170"/>
      <c r="H44" s="176">
        <f t="shared" si="25"/>
        <v>15</v>
      </c>
      <c r="I44" s="176">
        <v>800</v>
      </c>
      <c r="J44" s="177">
        <f t="shared" si="22"/>
        <v>66.666666666666671</v>
      </c>
      <c r="L44" s="134">
        <f t="shared" si="23"/>
        <v>797.94</v>
      </c>
    </row>
    <row r="45" spans="1:14" x14ac:dyDescent="0.35">
      <c r="A45" s="169" t="s">
        <v>88</v>
      </c>
      <c r="B45" s="150"/>
      <c r="C45" s="170">
        <f t="shared" ref="C45" si="26">SUM(C29:C44)</f>
        <v>509229.22000000003</v>
      </c>
      <c r="D45" s="170">
        <f>SUM(D28:D44)</f>
        <v>154950.39999999999</v>
      </c>
      <c r="E45" s="170">
        <f>SUM(E28:E44)</f>
        <v>121968</v>
      </c>
      <c r="F45" s="170">
        <f>SUM(F28:F44)</f>
        <v>13552.000000000002</v>
      </c>
      <c r="G45" s="170"/>
      <c r="H45" s="171">
        <f>SUM(H28:H44)</f>
        <v>3337.5120000000002</v>
      </c>
      <c r="I45" s="171">
        <f>SUM(I28:I44)</f>
        <v>167330</v>
      </c>
      <c r="J45" s="172">
        <f>SUM(J28:J44)</f>
        <v>13944.166666666664</v>
      </c>
    </row>
    <row r="46" spans="1:14" x14ac:dyDescent="0.35">
      <c r="A46" s="150"/>
      <c r="B46" s="150"/>
      <c r="C46" s="170"/>
      <c r="D46" s="170"/>
      <c r="E46" s="170"/>
      <c r="F46" s="170"/>
      <c r="G46" s="170"/>
      <c r="H46" s="171"/>
      <c r="I46" s="171"/>
      <c r="J46" s="172"/>
    </row>
    <row r="47" spans="1:14" x14ac:dyDescent="0.35">
      <c r="A47" s="169" t="s">
        <v>455</v>
      </c>
      <c r="B47" s="150"/>
      <c r="C47" s="170"/>
      <c r="D47" s="170"/>
      <c r="E47" s="170"/>
      <c r="F47" s="170"/>
      <c r="G47" s="170"/>
      <c r="H47" s="171"/>
      <c r="I47" s="171"/>
      <c r="J47" s="172"/>
    </row>
    <row r="48" spans="1:14" x14ac:dyDescent="0.35">
      <c r="A48" s="150" t="s">
        <v>227</v>
      </c>
      <c r="B48" s="150">
        <v>3</v>
      </c>
      <c r="C48" s="170">
        <f>78563.15+33559</f>
        <v>112122.15</v>
      </c>
      <c r="D48" s="170">
        <v>41510</v>
      </c>
      <c r="E48" s="170">
        <v>26034</v>
      </c>
      <c r="F48" s="170">
        <f>E48/9</f>
        <v>2892.6666666666665</v>
      </c>
      <c r="G48" s="170"/>
      <c r="H48" s="171">
        <f>D48*$N$48</f>
        <v>2905.7000000000003</v>
      </c>
      <c r="I48" s="171">
        <v>35750</v>
      </c>
      <c r="J48" s="172">
        <f t="shared" ref="J48:J52" si="27">I48/12</f>
        <v>2979.1666666666665</v>
      </c>
      <c r="K48" s="173" t="s">
        <v>530</v>
      </c>
      <c r="N48" s="188">
        <v>7.0000000000000007E-2</v>
      </c>
    </row>
    <row r="49" spans="1:14" x14ac:dyDescent="0.35">
      <c r="A49" s="150" t="s">
        <v>341</v>
      </c>
      <c r="B49" s="150">
        <v>3</v>
      </c>
      <c r="C49" s="170">
        <f>27687.76+8883</f>
        <v>36570.759999999995</v>
      </c>
      <c r="D49" s="170">
        <v>13380</v>
      </c>
      <c r="E49" s="170">
        <v>9468</v>
      </c>
      <c r="F49" s="170">
        <f t="shared" ref="F49:F50" si="28">E49/9</f>
        <v>1052</v>
      </c>
      <c r="G49" s="170"/>
      <c r="H49" s="171">
        <f>D49*$N$49</f>
        <v>669</v>
      </c>
      <c r="I49" s="171">
        <v>13130</v>
      </c>
      <c r="J49" s="172">
        <f t="shared" si="27"/>
        <v>1094.1666666666667</v>
      </c>
      <c r="K49" s="173" t="s">
        <v>531</v>
      </c>
      <c r="L49" s="134">
        <f>SUM((E49+(F49*3))*1.04)</f>
        <v>13128.960000000001</v>
      </c>
      <c r="N49" s="188">
        <v>0.05</v>
      </c>
    </row>
    <row r="50" spans="1:14" x14ac:dyDescent="0.35">
      <c r="A50" s="150" t="s">
        <v>48</v>
      </c>
      <c r="B50" s="150">
        <v>3</v>
      </c>
      <c r="C50" s="170">
        <f>28321.64+17687</f>
        <v>46008.639999999999</v>
      </c>
      <c r="D50" s="170">
        <v>13160</v>
      </c>
      <c r="E50" s="170">
        <v>8052</v>
      </c>
      <c r="F50" s="170">
        <f t="shared" si="28"/>
        <v>894.66666666666663</v>
      </c>
      <c r="G50" s="170"/>
      <c r="H50" s="171">
        <f>D50*$N$50</f>
        <v>921.2</v>
      </c>
      <c r="I50" s="171">
        <v>11270</v>
      </c>
      <c r="J50" s="172">
        <f t="shared" si="27"/>
        <v>939.16666666666663</v>
      </c>
      <c r="K50" s="173" t="s">
        <v>590</v>
      </c>
      <c r="L50" s="134">
        <f>SUM((E50+(F50*3))*1.05)</f>
        <v>11272.800000000001</v>
      </c>
      <c r="N50" s="188">
        <v>7.0000000000000007E-2</v>
      </c>
    </row>
    <row r="51" spans="1:14" x14ac:dyDescent="0.35">
      <c r="A51" s="150" t="s">
        <v>342</v>
      </c>
      <c r="B51" s="150">
        <v>3</v>
      </c>
      <c r="C51" s="175">
        <f>26118.22+8967</f>
        <v>35085.22</v>
      </c>
      <c r="D51" s="175">
        <v>12650</v>
      </c>
      <c r="E51" s="175">
        <v>9460</v>
      </c>
      <c r="F51" s="175">
        <f>E51/9</f>
        <v>1051.1111111111111</v>
      </c>
      <c r="G51" s="170"/>
      <c r="H51" s="176">
        <f>D51*$N$51</f>
        <v>632.5</v>
      </c>
      <c r="I51" s="176">
        <v>13120</v>
      </c>
      <c r="J51" s="177">
        <f t="shared" si="27"/>
        <v>1093.3333333333333</v>
      </c>
      <c r="K51" s="173" t="s">
        <v>531</v>
      </c>
      <c r="L51" s="134">
        <f>SUM((E51+(F51*3))*1.04)</f>
        <v>13117.866666666665</v>
      </c>
      <c r="N51" s="188">
        <v>0.05</v>
      </c>
    </row>
    <row r="52" spans="1:14" x14ac:dyDescent="0.35">
      <c r="A52" s="169" t="s">
        <v>307</v>
      </c>
      <c r="B52" s="150"/>
      <c r="C52" s="170">
        <f>SUM(C48:C51)</f>
        <v>229786.77</v>
      </c>
      <c r="D52" s="170">
        <f>SUM(D48:D51)</f>
        <v>80700</v>
      </c>
      <c r="E52" s="170">
        <f>SUM(E48:E51)</f>
        <v>53014</v>
      </c>
      <c r="F52" s="170">
        <f>SUM(F48:F51)</f>
        <v>5890.4444444444443</v>
      </c>
      <c r="G52" s="170"/>
      <c r="H52" s="171">
        <f>SUM(H48:H51)</f>
        <v>5128.4000000000005</v>
      </c>
      <c r="I52" s="171">
        <f>SUM(I48:I51)</f>
        <v>73270</v>
      </c>
      <c r="J52" s="172">
        <f t="shared" si="27"/>
        <v>6105.833333333333</v>
      </c>
      <c r="K52" s="173"/>
    </row>
    <row r="53" spans="1:14" x14ac:dyDescent="0.35">
      <c r="A53" s="150"/>
      <c r="B53" s="150"/>
      <c r="C53" s="170"/>
      <c r="D53" s="170"/>
      <c r="E53" s="170"/>
      <c r="F53" s="170"/>
      <c r="G53" s="170"/>
      <c r="H53" s="171"/>
      <c r="I53" s="171"/>
      <c r="J53" s="172"/>
      <c r="K53" s="173"/>
    </row>
    <row r="54" spans="1:14" x14ac:dyDescent="0.35">
      <c r="A54" s="169" t="s">
        <v>456</v>
      </c>
      <c r="B54" s="150"/>
      <c r="C54" s="170"/>
      <c r="D54" s="170"/>
      <c r="E54" s="170"/>
      <c r="F54" s="170"/>
      <c r="G54" s="170"/>
      <c r="H54" s="171"/>
      <c r="I54" s="171"/>
      <c r="J54" s="172"/>
      <c r="K54" s="173"/>
    </row>
    <row r="55" spans="1:14" x14ac:dyDescent="0.35">
      <c r="A55" s="150" t="s">
        <v>343</v>
      </c>
      <c r="B55" s="150">
        <v>3</v>
      </c>
      <c r="C55" s="170">
        <f>1256.89-353</f>
        <v>903.8900000000001</v>
      </c>
      <c r="D55" s="170">
        <v>310</v>
      </c>
      <c r="E55" s="170">
        <v>389</v>
      </c>
      <c r="F55" s="170">
        <f>E55/9</f>
        <v>43.222222222222221</v>
      </c>
      <c r="G55" s="170"/>
      <c r="H55" s="171">
        <f t="shared" ref="H55:H67" si="29">D55*$N$8</f>
        <v>9.2999999999999989</v>
      </c>
      <c r="I55" s="171">
        <v>530</v>
      </c>
      <c r="J55" s="172">
        <f t="shared" ref="J55:J68" si="30">I55/12</f>
        <v>44.166666666666664</v>
      </c>
      <c r="L55" s="134">
        <f t="shared" ref="L55:L61" si="31">SUM((E55+(F55*3))*1.03)</f>
        <v>534.22666666666669</v>
      </c>
    </row>
    <row r="56" spans="1:14" x14ac:dyDescent="0.35">
      <c r="A56" s="150" t="s">
        <v>344</v>
      </c>
      <c r="B56" s="150">
        <v>3</v>
      </c>
      <c r="C56" s="170">
        <f>54323.52+18929</f>
        <v>73252.51999999999</v>
      </c>
      <c r="D56" s="170">
        <v>25220</v>
      </c>
      <c r="E56" s="170">
        <v>16753</v>
      </c>
      <c r="F56" s="170">
        <f t="shared" ref="F56:F66" si="32">E56/9</f>
        <v>1861.4444444444443</v>
      </c>
      <c r="G56" s="170"/>
      <c r="H56" s="171">
        <f t="shared" si="29"/>
        <v>756.6</v>
      </c>
      <c r="I56" s="171">
        <v>23010</v>
      </c>
      <c r="J56" s="172">
        <f t="shared" si="30"/>
        <v>1917.5</v>
      </c>
      <c r="K56" s="173" t="s">
        <v>345</v>
      </c>
      <c r="L56" s="134">
        <f t="shared" si="31"/>
        <v>23007.453333333331</v>
      </c>
    </row>
    <row r="57" spans="1:14" x14ac:dyDescent="0.35">
      <c r="A57" s="150" t="s">
        <v>346</v>
      </c>
      <c r="B57" s="150">
        <v>3</v>
      </c>
      <c r="C57" s="170">
        <f>22418+10931</f>
        <v>33349</v>
      </c>
      <c r="D57" s="170">
        <v>7210</v>
      </c>
      <c r="E57" s="170">
        <v>1343</v>
      </c>
      <c r="F57" s="170">
        <f t="shared" si="32"/>
        <v>149.22222222222223</v>
      </c>
      <c r="G57" s="170"/>
      <c r="H57" s="171">
        <f t="shared" si="29"/>
        <v>216.29999999999998</v>
      </c>
      <c r="I57" s="171">
        <v>1840</v>
      </c>
      <c r="J57" s="172">
        <f t="shared" si="30"/>
        <v>153.33333333333334</v>
      </c>
      <c r="L57" s="134">
        <f t="shared" si="31"/>
        <v>1844.3866666666668</v>
      </c>
    </row>
    <row r="58" spans="1:14" x14ac:dyDescent="0.35">
      <c r="A58" s="150" t="s">
        <v>347</v>
      </c>
      <c r="B58" s="150">
        <v>3</v>
      </c>
      <c r="C58" s="170">
        <f>7369.68+3117</f>
        <v>10486.68</v>
      </c>
      <c r="D58" s="170">
        <v>3250</v>
      </c>
      <c r="E58" s="170">
        <v>2679</v>
      </c>
      <c r="F58" s="170">
        <f t="shared" si="32"/>
        <v>297.66666666666669</v>
      </c>
      <c r="G58" s="170"/>
      <c r="H58" s="171">
        <f t="shared" si="29"/>
        <v>97.5</v>
      </c>
      <c r="I58" s="171">
        <v>3710</v>
      </c>
      <c r="J58" s="172">
        <f t="shared" si="30"/>
        <v>309.16666666666669</v>
      </c>
      <c r="K58" s="173" t="s">
        <v>570</v>
      </c>
      <c r="L58" s="134">
        <f>SUM((E58+(F58*3))*1.04)</f>
        <v>3714.88</v>
      </c>
    </row>
    <row r="59" spans="1:14" x14ac:dyDescent="0.35">
      <c r="A59" s="150" t="s">
        <v>311</v>
      </c>
      <c r="B59" s="150">
        <v>3</v>
      </c>
      <c r="C59" s="170">
        <f>3221.93+943</f>
        <v>4164.93</v>
      </c>
      <c r="D59" s="170">
        <v>1540</v>
      </c>
      <c r="E59" s="170">
        <v>854</v>
      </c>
      <c r="F59" s="170">
        <f t="shared" si="32"/>
        <v>94.888888888888886</v>
      </c>
      <c r="G59" s="170"/>
      <c r="H59" s="171">
        <f t="shared" si="29"/>
        <v>46.199999999999996</v>
      </c>
      <c r="I59" s="171">
        <v>1170</v>
      </c>
      <c r="J59" s="172">
        <f t="shared" si="30"/>
        <v>97.5</v>
      </c>
      <c r="K59" s="173" t="s">
        <v>348</v>
      </c>
      <c r="L59" s="134">
        <f t="shared" si="31"/>
        <v>1172.8266666666666</v>
      </c>
    </row>
    <row r="60" spans="1:14" x14ac:dyDescent="0.35">
      <c r="A60" s="150" t="s">
        <v>257</v>
      </c>
      <c r="B60" s="150">
        <v>3</v>
      </c>
      <c r="C60" s="170">
        <f>32436.31+8339</f>
        <v>40775.31</v>
      </c>
      <c r="D60" s="170">
        <v>12360</v>
      </c>
      <c r="E60" s="170">
        <v>8214</v>
      </c>
      <c r="F60" s="170">
        <f t="shared" si="32"/>
        <v>912.66666666666663</v>
      </c>
      <c r="G60" s="170"/>
      <c r="H60" s="171">
        <f t="shared" si="29"/>
        <v>370.8</v>
      </c>
      <c r="I60" s="171">
        <v>11280</v>
      </c>
      <c r="J60" s="172">
        <f t="shared" si="30"/>
        <v>940</v>
      </c>
      <c r="L60" s="134">
        <f t="shared" si="31"/>
        <v>11280.56</v>
      </c>
    </row>
    <row r="61" spans="1:14" x14ac:dyDescent="0.35">
      <c r="A61" s="150" t="s">
        <v>55</v>
      </c>
      <c r="B61" s="150">
        <v>3</v>
      </c>
      <c r="C61" s="170">
        <f>134485.97+65553</f>
        <v>200038.97</v>
      </c>
      <c r="D61" s="170">
        <v>59600</v>
      </c>
      <c r="E61" s="170">
        <v>41873</v>
      </c>
      <c r="F61" s="170">
        <f t="shared" si="32"/>
        <v>4652.5555555555557</v>
      </c>
      <c r="G61" s="170"/>
      <c r="H61" s="171">
        <f t="shared" si="29"/>
        <v>1788</v>
      </c>
      <c r="I61" s="171">
        <v>57500</v>
      </c>
      <c r="J61" s="172">
        <f t="shared" si="30"/>
        <v>4791.666666666667</v>
      </c>
      <c r="L61" s="134">
        <f t="shared" si="31"/>
        <v>57505.58666666667</v>
      </c>
    </row>
    <row r="62" spans="1:14" x14ac:dyDescent="0.35">
      <c r="A62" s="150" t="s">
        <v>526</v>
      </c>
      <c r="B62" s="150"/>
      <c r="C62" s="151"/>
      <c r="D62" s="170">
        <v>0</v>
      </c>
      <c r="E62" s="170">
        <v>0</v>
      </c>
      <c r="F62" s="170">
        <f>E62/9</f>
        <v>0</v>
      </c>
      <c r="G62" s="170"/>
      <c r="H62" s="171"/>
      <c r="I62" s="171">
        <v>4000</v>
      </c>
      <c r="J62" s="172">
        <f>I62/12</f>
        <v>333.33333333333331</v>
      </c>
      <c r="K62" s="173" t="s">
        <v>623</v>
      </c>
      <c r="L62" s="134">
        <f>SUM((E62+(F62*3))*1.03)</f>
        <v>0</v>
      </c>
    </row>
    <row r="63" spans="1:14" x14ac:dyDescent="0.35">
      <c r="A63" s="150" t="s">
        <v>527</v>
      </c>
      <c r="B63" s="150"/>
      <c r="C63" s="151"/>
      <c r="D63" s="170">
        <v>0</v>
      </c>
      <c r="E63" s="170">
        <v>0</v>
      </c>
      <c r="F63" s="170">
        <f>E63/9</f>
        <v>0</v>
      </c>
      <c r="G63" s="170"/>
      <c r="H63" s="171"/>
      <c r="I63" s="171">
        <v>4500</v>
      </c>
      <c r="J63" s="172">
        <f>I63/12</f>
        <v>375</v>
      </c>
      <c r="K63" s="173" t="s">
        <v>623</v>
      </c>
      <c r="L63" s="134">
        <f>SUM((E63+(F63*3))*1.03)</f>
        <v>0</v>
      </c>
    </row>
    <row r="64" spans="1:14" x14ac:dyDescent="0.35">
      <c r="A64" s="150" t="s">
        <v>648</v>
      </c>
      <c r="B64" s="150"/>
      <c r="C64" s="151"/>
      <c r="D64" s="141">
        <v>0</v>
      </c>
      <c r="E64" s="170">
        <v>0</v>
      </c>
      <c r="F64" s="170">
        <f t="shared" si="32"/>
        <v>0</v>
      </c>
      <c r="G64" s="170"/>
      <c r="H64" s="171">
        <f t="shared" si="29"/>
        <v>0</v>
      </c>
      <c r="I64" s="171">
        <f>16000+4000</f>
        <v>20000</v>
      </c>
      <c r="J64" s="172">
        <f t="shared" si="30"/>
        <v>1666.6666666666667</v>
      </c>
      <c r="K64" s="173" t="s">
        <v>623</v>
      </c>
      <c r="L64" s="134">
        <f t="shared" ref="L64:L67" si="33">SUM((E64+(F64*3))*1.03)</f>
        <v>0</v>
      </c>
    </row>
    <row r="65" spans="1:14" x14ac:dyDescent="0.35">
      <c r="A65" s="150" t="s">
        <v>349</v>
      </c>
      <c r="B65" s="150">
        <v>3</v>
      </c>
      <c r="C65" s="170">
        <f>26691.5+16299</f>
        <v>42990.5</v>
      </c>
      <c r="D65" s="170">
        <v>14760</v>
      </c>
      <c r="E65" s="170">
        <v>7839</v>
      </c>
      <c r="F65" s="170">
        <f t="shared" si="32"/>
        <v>871</v>
      </c>
      <c r="G65" s="170"/>
      <c r="H65" s="171">
        <f t="shared" si="29"/>
        <v>442.8</v>
      </c>
      <c r="I65" s="171">
        <v>10940</v>
      </c>
      <c r="J65" s="172">
        <f t="shared" si="30"/>
        <v>911.66666666666663</v>
      </c>
      <c r="K65" s="173" t="s">
        <v>580</v>
      </c>
      <c r="L65" s="134">
        <f t="shared" si="33"/>
        <v>10765.56</v>
      </c>
    </row>
    <row r="66" spans="1:14" x14ac:dyDescent="0.35">
      <c r="A66" s="150" t="s">
        <v>57</v>
      </c>
      <c r="B66" s="150">
        <v>3</v>
      </c>
      <c r="C66" s="170">
        <f>30017.16+3333</f>
        <v>33350.160000000003</v>
      </c>
      <c r="D66" s="170">
        <v>14880</v>
      </c>
      <c r="E66" s="170">
        <v>7455</v>
      </c>
      <c r="F66" s="170">
        <f t="shared" si="32"/>
        <v>828.33333333333337</v>
      </c>
      <c r="G66" s="170"/>
      <c r="H66" s="171">
        <f t="shared" si="29"/>
        <v>446.4</v>
      </c>
      <c r="I66" s="171">
        <v>12030</v>
      </c>
      <c r="J66" s="172">
        <f t="shared" si="30"/>
        <v>1002.5</v>
      </c>
      <c r="K66" s="134" t="s">
        <v>655</v>
      </c>
      <c r="L66" s="134">
        <f t="shared" si="33"/>
        <v>10238.200000000001</v>
      </c>
    </row>
    <row r="67" spans="1:14" x14ac:dyDescent="0.35">
      <c r="A67" s="150" t="s">
        <v>350</v>
      </c>
      <c r="B67" s="150">
        <v>3</v>
      </c>
      <c r="C67" s="175">
        <f>38199.55+8140</f>
        <v>46339.55</v>
      </c>
      <c r="D67" s="175">
        <v>15760</v>
      </c>
      <c r="E67" s="175">
        <v>12892</v>
      </c>
      <c r="F67" s="175">
        <f>E67/9</f>
        <v>1432.4444444444443</v>
      </c>
      <c r="G67" s="170"/>
      <c r="H67" s="176">
        <f t="shared" si="29"/>
        <v>472.79999999999995</v>
      </c>
      <c r="I67" s="176">
        <v>17700</v>
      </c>
      <c r="J67" s="177">
        <f t="shared" si="30"/>
        <v>1475</v>
      </c>
      <c r="L67" s="134">
        <f t="shared" si="33"/>
        <v>17705.013333333332</v>
      </c>
    </row>
    <row r="68" spans="1:14" x14ac:dyDescent="0.35">
      <c r="A68" s="169" t="s">
        <v>91</v>
      </c>
      <c r="B68" s="150"/>
      <c r="C68" s="170">
        <f>SUM(C53:C67)</f>
        <v>485651.50999999995</v>
      </c>
      <c r="D68" s="170">
        <f>SUM(D53:D67)</f>
        <v>154890</v>
      </c>
      <c r="E68" s="170">
        <f>SUM(E53:E67)</f>
        <v>100291</v>
      </c>
      <c r="F68" s="170">
        <f>SUM(F55:F67)</f>
        <v>11143.444444444445</v>
      </c>
      <c r="G68" s="170"/>
      <c r="H68" s="171">
        <f>SUM(H53:H67)</f>
        <v>4646.7</v>
      </c>
      <c r="I68" s="171">
        <f>SUM(I53:I67)</f>
        <v>168210</v>
      </c>
      <c r="J68" s="172">
        <f t="shared" si="30"/>
        <v>14017.5</v>
      </c>
    </row>
    <row r="69" spans="1:14" x14ac:dyDescent="0.35">
      <c r="A69" s="150"/>
      <c r="B69" s="150"/>
      <c r="C69" s="170"/>
      <c r="D69" s="170"/>
      <c r="E69" s="170"/>
      <c r="F69" s="170"/>
      <c r="G69" s="170"/>
      <c r="H69" s="171"/>
      <c r="I69" s="171"/>
      <c r="J69" s="172"/>
    </row>
    <row r="70" spans="1:14" x14ac:dyDescent="0.35">
      <c r="A70" s="169" t="s">
        <v>457</v>
      </c>
      <c r="B70" s="150"/>
      <c r="C70" s="170"/>
      <c r="D70" s="170"/>
      <c r="E70" s="170"/>
      <c r="F70" s="170"/>
      <c r="G70" s="170"/>
      <c r="H70" s="171"/>
      <c r="I70" s="171"/>
      <c r="J70" s="172"/>
    </row>
    <row r="71" spans="1:14" x14ac:dyDescent="0.35">
      <c r="A71" s="150" t="s">
        <v>42</v>
      </c>
      <c r="B71" s="150">
        <v>3</v>
      </c>
      <c r="C71" s="170">
        <f>18974.38+5883</f>
        <v>24857.38</v>
      </c>
      <c r="D71" s="170">
        <v>6170</v>
      </c>
      <c r="E71" s="170">
        <v>4766</v>
      </c>
      <c r="F71" s="170">
        <f>E71/9</f>
        <v>529.55555555555554</v>
      </c>
      <c r="G71" s="170"/>
      <c r="H71" s="171">
        <f>E71*$N$71</f>
        <v>364.59899999999999</v>
      </c>
      <c r="I71" s="171">
        <v>7100</v>
      </c>
      <c r="J71" s="172">
        <f t="shared" ref="J71:J79" si="34">I71/12</f>
        <v>591.66666666666663</v>
      </c>
      <c r="K71" s="173" t="s">
        <v>427</v>
      </c>
      <c r="L71" s="134">
        <f>SUM(I29+I35)*7.65%</f>
        <v>7093.8450000000003</v>
      </c>
      <c r="N71" s="214">
        <v>7.6499999999999999E-2</v>
      </c>
    </row>
    <row r="72" spans="1:14" x14ac:dyDescent="0.35">
      <c r="A72" s="150" t="s">
        <v>231</v>
      </c>
      <c r="B72" s="150">
        <v>3</v>
      </c>
      <c r="C72" s="170">
        <f>11050.22+12349</f>
        <v>23399.22</v>
      </c>
      <c r="D72" s="170">
        <v>6370</v>
      </c>
      <c r="E72" s="170">
        <v>6048</v>
      </c>
      <c r="F72" s="170">
        <f t="shared" ref="F72:F73" si="35">E72/9</f>
        <v>672</v>
      </c>
      <c r="G72" s="170"/>
      <c r="H72" s="171">
        <f>E72*$N$72</f>
        <v>302.40000000000003</v>
      </c>
      <c r="I72" s="171">
        <v>6110</v>
      </c>
      <c r="J72" s="172">
        <f t="shared" si="34"/>
        <v>509.16666666666669</v>
      </c>
      <c r="K72" s="173" t="s">
        <v>571</v>
      </c>
      <c r="L72" s="134">
        <f>E72*1.01</f>
        <v>6108.4800000000005</v>
      </c>
      <c r="N72" s="188">
        <v>0.05</v>
      </c>
    </row>
    <row r="73" spans="1:14" x14ac:dyDescent="0.35">
      <c r="A73" s="150" t="s">
        <v>59</v>
      </c>
      <c r="B73" s="150">
        <v>3</v>
      </c>
      <c r="C73" s="170">
        <f>70139.53+1215</f>
        <v>71354.53</v>
      </c>
      <c r="D73" s="170">
        <v>24200</v>
      </c>
      <c r="E73" s="170">
        <v>16229</v>
      </c>
      <c r="F73" s="170">
        <f t="shared" si="35"/>
        <v>1803.2222222222222</v>
      </c>
      <c r="G73" s="170"/>
      <c r="H73" s="171">
        <f>D73*$N$73</f>
        <v>7260</v>
      </c>
      <c r="I73" s="171">
        <v>27820</v>
      </c>
      <c r="J73" s="172">
        <f t="shared" si="34"/>
        <v>2318.3333333333335</v>
      </c>
      <c r="K73" s="173" t="s">
        <v>424</v>
      </c>
      <c r="L73" s="134">
        <f>SUM(I29+I35)*0.3</f>
        <v>27819</v>
      </c>
      <c r="N73" s="188">
        <v>0.3</v>
      </c>
    </row>
    <row r="74" spans="1:14" x14ac:dyDescent="0.35">
      <c r="A74" s="150" t="s">
        <v>351</v>
      </c>
      <c r="B74" s="150">
        <v>3</v>
      </c>
      <c r="C74" s="170">
        <v>815</v>
      </c>
      <c r="D74" s="170">
        <v>850</v>
      </c>
      <c r="E74" s="170">
        <v>1808</v>
      </c>
      <c r="F74" s="170">
        <f>E74/9</f>
        <v>200.88888888888889</v>
      </c>
      <c r="G74" s="170"/>
      <c r="H74" s="171">
        <f>D74*$N$8</f>
        <v>25.5</v>
      </c>
      <c r="I74" s="171">
        <v>2480</v>
      </c>
      <c r="J74" s="172">
        <f t="shared" si="34"/>
        <v>206.66666666666666</v>
      </c>
      <c r="K74" s="189" t="s">
        <v>640</v>
      </c>
      <c r="L74" s="134">
        <f>SUM((E74+(F74*3))*1.03)</f>
        <v>2482.9866666666667</v>
      </c>
      <c r="N74" s="134">
        <f>SUM(I70)*7.65%</f>
        <v>0</v>
      </c>
    </row>
    <row r="75" spans="1:14" hidden="1" x14ac:dyDescent="0.35">
      <c r="A75" s="150" t="s">
        <v>558</v>
      </c>
      <c r="B75" s="150"/>
      <c r="C75" s="170"/>
      <c r="D75" s="170">
        <v>0</v>
      </c>
      <c r="E75" s="170">
        <v>297</v>
      </c>
      <c r="F75" s="170">
        <f t="shared" ref="F75:F79" si="36">E75/9</f>
        <v>33</v>
      </c>
      <c r="G75" s="170"/>
      <c r="H75" s="171"/>
      <c r="I75" s="171">
        <v>0</v>
      </c>
      <c r="J75" s="172">
        <f t="shared" si="34"/>
        <v>0</v>
      </c>
      <c r="K75" s="173"/>
      <c r="L75" s="134">
        <f t="shared" ref="L75:L77" si="37">SUM((E75+(F75*3))*1.03)</f>
        <v>407.88</v>
      </c>
    </row>
    <row r="76" spans="1:14" hidden="1" x14ac:dyDescent="0.35">
      <c r="A76" s="150" t="s">
        <v>61</v>
      </c>
      <c r="B76" s="150">
        <v>3</v>
      </c>
      <c r="C76" s="170">
        <v>757</v>
      </c>
      <c r="D76" s="170">
        <v>410</v>
      </c>
      <c r="E76" s="170">
        <v>2026</v>
      </c>
      <c r="F76" s="170">
        <f t="shared" si="36"/>
        <v>225.11111111111111</v>
      </c>
      <c r="G76" s="170"/>
      <c r="H76" s="171">
        <f>D76*$N$8</f>
        <v>12.299999999999999</v>
      </c>
      <c r="I76" s="171">
        <v>0</v>
      </c>
      <c r="J76" s="172">
        <f t="shared" si="34"/>
        <v>0</v>
      </c>
      <c r="L76" s="134">
        <f t="shared" si="37"/>
        <v>2782.3733333333334</v>
      </c>
      <c r="N76" s="134">
        <f>SUM(I70)*30%</f>
        <v>0</v>
      </c>
    </row>
    <row r="77" spans="1:14" x14ac:dyDescent="0.35">
      <c r="A77" s="150" t="s">
        <v>352</v>
      </c>
      <c r="B77" s="150">
        <v>3</v>
      </c>
      <c r="C77" s="170">
        <v>145</v>
      </c>
      <c r="D77" s="170">
        <v>100</v>
      </c>
      <c r="E77" s="170">
        <v>337</v>
      </c>
      <c r="F77" s="170">
        <f t="shared" si="36"/>
        <v>37.444444444444443</v>
      </c>
      <c r="G77" s="170"/>
      <c r="H77" s="171">
        <f>D77*$N$8</f>
        <v>3</v>
      </c>
      <c r="I77" s="171">
        <v>460</v>
      </c>
      <c r="J77" s="172">
        <f t="shared" si="34"/>
        <v>38.333333333333336</v>
      </c>
      <c r="K77" s="173" t="s">
        <v>353</v>
      </c>
      <c r="L77" s="134">
        <f t="shared" si="37"/>
        <v>462.81333333333333</v>
      </c>
      <c r="N77" s="134">
        <f>SUM((E77+(F77*3))*1.03)</f>
        <v>462.81333333333333</v>
      </c>
    </row>
    <row r="78" spans="1:14" x14ac:dyDescent="0.35">
      <c r="A78" s="150" t="s">
        <v>354</v>
      </c>
      <c r="B78" s="150">
        <v>3</v>
      </c>
      <c r="C78" s="170">
        <f>28668.48+32614</f>
        <v>61282.479999999996</v>
      </c>
      <c r="D78" s="170">
        <v>14290</v>
      </c>
      <c r="E78" s="170">
        <v>10557</v>
      </c>
      <c r="F78" s="170">
        <f t="shared" si="36"/>
        <v>1173</v>
      </c>
      <c r="G78" s="170"/>
      <c r="H78" s="171">
        <f>D78*$N$8</f>
        <v>428.7</v>
      </c>
      <c r="I78" s="171">
        <v>14820</v>
      </c>
      <c r="J78" s="172">
        <f t="shared" si="34"/>
        <v>1235</v>
      </c>
      <c r="K78" s="173" t="s">
        <v>581</v>
      </c>
      <c r="L78" s="134">
        <f>SUM(I33+I39)*1*0.03</f>
        <v>53.1</v>
      </c>
    </row>
    <row r="79" spans="1:14" x14ac:dyDescent="0.35">
      <c r="A79" s="150" t="s">
        <v>355</v>
      </c>
      <c r="B79" s="150">
        <v>3</v>
      </c>
      <c r="C79" s="175">
        <v>108660</v>
      </c>
      <c r="D79" s="175">
        <v>108660</v>
      </c>
      <c r="E79" s="175">
        <v>74894</v>
      </c>
      <c r="F79" s="175">
        <f t="shared" si="36"/>
        <v>8321.5555555555547</v>
      </c>
      <c r="G79" s="170"/>
      <c r="H79" s="176">
        <v>0</v>
      </c>
      <c r="I79" s="176">
        <v>100580</v>
      </c>
      <c r="J79" s="177">
        <f t="shared" si="34"/>
        <v>8381.6666666666661</v>
      </c>
      <c r="K79" s="173" t="s">
        <v>262</v>
      </c>
    </row>
    <row r="80" spans="1:14" x14ac:dyDescent="0.35">
      <c r="A80" s="169" t="s">
        <v>92</v>
      </c>
      <c r="B80" s="150"/>
      <c r="C80" s="170">
        <f t="shared" ref="C80" si="38">SUM(C74:C79)</f>
        <v>171659.47999999998</v>
      </c>
      <c r="D80" s="170">
        <f>SUM(D71:D79)</f>
        <v>161050</v>
      </c>
      <c r="E80" s="170">
        <f>SUM(E71:E79)</f>
        <v>116962</v>
      </c>
      <c r="F80" s="170">
        <f>SUM(F71:F79)</f>
        <v>12995.777777777777</v>
      </c>
      <c r="G80" s="170"/>
      <c r="H80" s="171">
        <f>SUM(H71:H79)</f>
        <v>8396.4989999999998</v>
      </c>
      <c r="I80" s="171">
        <f>SUM(I71:I79)</f>
        <v>159370</v>
      </c>
      <c r="J80" s="172">
        <f>SUM(J71:J79)</f>
        <v>13280.833333333332</v>
      </c>
    </row>
    <row r="81" spans="1:11" x14ac:dyDescent="0.35">
      <c r="A81" s="150"/>
      <c r="B81" s="150"/>
      <c r="C81" s="170"/>
      <c r="D81" s="170"/>
      <c r="E81" s="170"/>
      <c r="F81" s="170"/>
      <c r="G81" s="170"/>
      <c r="H81" s="171"/>
      <c r="I81" s="171"/>
      <c r="J81" s="172"/>
    </row>
    <row r="82" spans="1:11" x14ac:dyDescent="0.35">
      <c r="A82" s="169" t="s">
        <v>459</v>
      </c>
      <c r="B82" s="150"/>
      <c r="C82" s="170"/>
      <c r="D82" s="170"/>
      <c r="E82" s="170"/>
      <c r="F82" s="170"/>
      <c r="G82" s="170"/>
      <c r="H82" s="171"/>
      <c r="I82" s="171"/>
      <c r="J82" s="172"/>
    </row>
    <row r="83" spans="1:11" x14ac:dyDescent="0.35">
      <c r="A83" s="150" t="s">
        <v>313</v>
      </c>
      <c r="B83" s="150">
        <v>3</v>
      </c>
      <c r="C83" s="170">
        <v>131228.83333333331</v>
      </c>
      <c r="D83" s="170">
        <v>46530</v>
      </c>
      <c r="E83" s="170">
        <v>39308</v>
      </c>
      <c r="F83" s="170">
        <f>E83/9</f>
        <v>4367.5555555555557</v>
      </c>
      <c r="G83" s="170"/>
      <c r="H83" s="171">
        <v>0</v>
      </c>
      <c r="I83" s="171">
        <v>38650</v>
      </c>
      <c r="J83" s="172">
        <f>I83/12</f>
        <v>3220.8333333333335</v>
      </c>
      <c r="K83" s="173" t="s">
        <v>582</v>
      </c>
    </row>
    <row r="84" spans="1:11" x14ac:dyDescent="0.35">
      <c r="A84" s="150" t="s">
        <v>295</v>
      </c>
      <c r="B84" s="150">
        <v>3</v>
      </c>
      <c r="C84" s="175">
        <v>273017.75666666671</v>
      </c>
      <c r="D84" s="175">
        <v>142770</v>
      </c>
      <c r="E84" s="175">
        <v>118442</v>
      </c>
      <c r="F84" s="175">
        <f>E84/9</f>
        <v>13160.222222222223</v>
      </c>
      <c r="G84" s="170"/>
      <c r="H84" s="176">
        <v>0</v>
      </c>
      <c r="I84" s="176">
        <v>150650</v>
      </c>
      <c r="J84" s="177">
        <f>I84/12</f>
        <v>12554.166666666666</v>
      </c>
      <c r="K84" s="173" t="s">
        <v>582</v>
      </c>
    </row>
    <row r="85" spans="1:11" x14ac:dyDescent="0.35">
      <c r="A85" s="169" t="s">
        <v>314</v>
      </c>
      <c r="B85" s="150"/>
      <c r="C85" s="170">
        <f>SUM(C83:C84)</f>
        <v>404246.59</v>
      </c>
      <c r="D85" s="170">
        <f t="shared" ref="D85:H85" si="39">SUM(D83:D84)</f>
        <v>189300</v>
      </c>
      <c r="E85" s="170">
        <f t="shared" si="39"/>
        <v>157750</v>
      </c>
      <c r="F85" s="170">
        <f>SUM(F83:F84)</f>
        <v>17527.777777777777</v>
      </c>
      <c r="G85" s="170"/>
      <c r="H85" s="171">
        <f t="shared" si="39"/>
        <v>0</v>
      </c>
      <c r="I85" s="171">
        <f>SUM(I83:I84)</f>
        <v>189300</v>
      </c>
      <c r="J85" s="172">
        <f>SUM(J83:J84)</f>
        <v>15775</v>
      </c>
    </row>
    <row r="86" spans="1:11" x14ac:dyDescent="0.35">
      <c r="A86" s="150"/>
      <c r="B86" s="150"/>
      <c r="C86" s="170"/>
      <c r="D86" s="170"/>
      <c r="E86" s="170"/>
      <c r="F86" s="170"/>
      <c r="G86" s="170"/>
      <c r="H86" s="171"/>
      <c r="I86" s="171"/>
      <c r="J86" s="172"/>
    </row>
    <row r="87" spans="1:11" x14ac:dyDescent="0.35">
      <c r="A87" s="169" t="s">
        <v>84</v>
      </c>
      <c r="B87" s="150"/>
      <c r="C87" s="170"/>
      <c r="D87" s="170"/>
      <c r="E87" s="170"/>
      <c r="F87" s="170"/>
      <c r="G87" s="170"/>
      <c r="H87" s="171"/>
      <c r="I87" s="171"/>
      <c r="J87" s="172"/>
    </row>
    <row r="88" spans="1:11" x14ac:dyDescent="0.35">
      <c r="A88" s="150" t="s">
        <v>315</v>
      </c>
      <c r="B88" s="150">
        <v>3</v>
      </c>
      <c r="C88" s="175">
        <v>22362.799999999999</v>
      </c>
      <c r="D88" s="175">
        <v>9930</v>
      </c>
      <c r="E88" s="175">
        <v>7448</v>
      </c>
      <c r="F88" s="175">
        <f>E88/9</f>
        <v>827.55555555555554</v>
      </c>
      <c r="G88" s="170"/>
      <c r="H88" s="176">
        <v>0</v>
      </c>
      <c r="I88" s="176">
        <f t="shared" ref="I88" si="40">D88+H88</f>
        <v>9930</v>
      </c>
      <c r="J88" s="177">
        <f t="shared" ref="J88" si="41">I88/12</f>
        <v>827.5</v>
      </c>
    </row>
    <row r="89" spans="1:11" x14ac:dyDescent="0.35">
      <c r="A89" s="169" t="s">
        <v>93</v>
      </c>
      <c r="B89" s="150"/>
      <c r="C89" s="170">
        <f>SUM(C86:C88)</f>
        <v>22362.799999999999</v>
      </c>
      <c r="D89" s="170">
        <f t="shared" ref="D89:J89" si="42">SUM(D86:D88)</f>
        <v>9930</v>
      </c>
      <c r="E89" s="170">
        <f t="shared" si="42"/>
        <v>7448</v>
      </c>
      <c r="F89" s="170">
        <f>SUM(F88)</f>
        <v>827.55555555555554</v>
      </c>
      <c r="G89" s="170"/>
      <c r="H89" s="171">
        <f t="shared" si="42"/>
        <v>0</v>
      </c>
      <c r="I89" s="171">
        <f t="shared" si="42"/>
        <v>9930</v>
      </c>
      <c r="J89" s="172">
        <f t="shared" si="42"/>
        <v>827.5</v>
      </c>
      <c r="K89" s="173"/>
    </row>
    <row r="90" spans="1:11" x14ac:dyDescent="0.35">
      <c r="A90" s="169"/>
      <c r="B90" s="150"/>
      <c r="C90" s="170"/>
      <c r="D90" s="170"/>
      <c r="E90" s="170"/>
      <c r="F90" s="170"/>
      <c r="G90" s="170"/>
      <c r="H90" s="171"/>
      <c r="I90" s="171"/>
      <c r="J90" s="172"/>
      <c r="K90" s="173"/>
    </row>
    <row r="91" spans="1:11" hidden="1" x14ac:dyDescent="0.35">
      <c r="A91" s="150" t="s">
        <v>356</v>
      </c>
      <c r="B91" s="150">
        <v>3</v>
      </c>
      <c r="C91" s="170">
        <v>0</v>
      </c>
      <c r="D91" s="170">
        <f t="shared" ref="D91:D93" si="43">C91/3</f>
        <v>0</v>
      </c>
      <c r="E91" s="170">
        <f t="shared" ref="E91:E97" si="44">D91/12</f>
        <v>0</v>
      </c>
      <c r="F91" s="170"/>
      <c r="G91" s="170"/>
      <c r="H91" s="145"/>
      <c r="I91" s="145"/>
      <c r="J91" s="139"/>
      <c r="K91" s="173"/>
    </row>
    <row r="92" spans="1:11" hidden="1" x14ac:dyDescent="0.35">
      <c r="A92" s="150" t="s">
        <v>357</v>
      </c>
      <c r="B92" s="150">
        <v>3</v>
      </c>
      <c r="C92" s="170">
        <v>0</v>
      </c>
      <c r="D92" s="170">
        <f t="shared" si="43"/>
        <v>0</v>
      </c>
      <c r="E92" s="170">
        <f t="shared" si="44"/>
        <v>0</v>
      </c>
      <c r="F92" s="170"/>
      <c r="G92" s="170"/>
      <c r="H92" s="145"/>
      <c r="I92" s="145"/>
      <c r="J92" s="139"/>
      <c r="K92" s="173"/>
    </row>
    <row r="93" spans="1:11" hidden="1" x14ac:dyDescent="0.35">
      <c r="A93" s="150" t="s">
        <v>263</v>
      </c>
      <c r="B93" s="150">
        <v>3</v>
      </c>
      <c r="C93" s="170">
        <v>0</v>
      </c>
      <c r="D93" s="170">
        <f t="shared" si="43"/>
        <v>0</v>
      </c>
      <c r="E93" s="170">
        <f t="shared" si="44"/>
        <v>0</v>
      </c>
      <c r="F93" s="170"/>
      <c r="G93" s="170"/>
      <c r="H93" s="171">
        <v>0</v>
      </c>
      <c r="I93" s="171">
        <f t="shared" ref="I93" si="45">D93+H93</f>
        <v>0</v>
      </c>
      <c r="J93" s="172">
        <f t="shared" ref="J93:J100" si="46">I93/12</f>
        <v>0</v>
      </c>
      <c r="K93" s="173"/>
    </row>
    <row r="94" spans="1:11" x14ac:dyDescent="0.35">
      <c r="A94" s="169" t="s">
        <v>458</v>
      </c>
      <c r="B94" s="150"/>
      <c r="C94" s="170"/>
      <c r="D94" s="170"/>
      <c r="E94" s="170"/>
      <c r="F94" s="170"/>
      <c r="G94" s="170"/>
      <c r="H94" s="171"/>
      <c r="I94" s="171"/>
      <c r="J94" s="172"/>
      <c r="K94" s="173"/>
    </row>
    <row r="95" spans="1:11" x14ac:dyDescent="0.35">
      <c r="A95" s="150" t="s">
        <v>265</v>
      </c>
      <c r="B95" s="150">
        <v>3</v>
      </c>
      <c r="C95" s="151">
        <v>17108</v>
      </c>
      <c r="D95" s="141">
        <v>0</v>
      </c>
      <c r="E95" s="170">
        <v>0</v>
      </c>
      <c r="F95" s="170">
        <f>E95/9</f>
        <v>0</v>
      </c>
      <c r="G95" s="170"/>
      <c r="H95" s="171">
        <v>0</v>
      </c>
      <c r="I95" s="171">
        <v>5000</v>
      </c>
      <c r="J95" s="172">
        <f t="shared" ref="J95" si="47">I95/12</f>
        <v>416.66666666666669</v>
      </c>
      <c r="K95" s="173" t="s">
        <v>599</v>
      </c>
    </row>
    <row r="96" spans="1:11" x14ac:dyDescent="0.35">
      <c r="A96" s="150" t="s">
        <v>317</v>
      </c>
      <c r="B96" s="150">
        <v>3</v>
      </c>
      <c r="C96" s="170">
        <v>0</v>
      </c>
      <c r="D96" s="170">
        <v>16000</v>
      </c>
      <c r="E96" s="170">
        <v>0</v>
      </c>
      <c r="F96" s="170">
        <f>E96/9</f>
        <v>0</v>
      </c>
      <c r="G96" s="170"/>
      <c r="H96" s="171">
        <v>0</v>
      </c>
      <c r="I96" s="171">
        <v>0</v>
      </c>
      <c r="J96" s="172">
        <f t="shared" si="46"/>
        <v>0</v>
      </c>
      <c r="K96" s="134" t="s">
        <v>641</v>
      </c>
    </row>
    <row r="97" spans="1:11" hidden="1" x14ac:dyDescent="0.35">
      <c r="A97" s="150" t="s">
        <v>358</v>
      </c>
      <c r="B97" s="150">
        <v>3</v>
      </c>
      <c r="C97" s="170">
        <v>0</v>
      </c>
      <c r="D97" s="170">
        <v>0</v>
      </c>
      <c r="E97" s="170">
        <f t="shared" si="44"/>
        <v>0</v>
      </c>
      <c r="F97" s="170">
        <f t="shared" ref="F97:F100" si="48">E97/9</f>
        <v>0</v>
      </c>
      <c r="G97" s="170"/>
      <c r="H97" s="171">
        <v>0</v>
      </c>
      <c r="I97" s="171">
        <v>0</v>
      </c>
      <c r="J97" s="172">
        <f t="shared" si="46"/>
        <v>0</v>
      </c>
      <c r="K97" s="134" t="s">
        <v>641</v>
      </c>
    </row>
    <row r="98" spans="1:11" x14ac:dyDescent="0.35">
      <c r="A98" s="150" t="s">
        <v>359</v>
      </c>
      <c r="B98" s="150">
        <v>3</v>
      </c>
      <c r="C98" s="170">
        <v>18916.21333333333</v>
      </c>
      <c r="D98" s="170">
        <v>4500</v>
      </c>
      <c r="E98" s="170">
        <v>4137</v>
      </c>
      <c r="F98" s="170">
        <f t="shared" si="48"/>
        <v>459.66666666666669</v>
      </c>
      <c r="G98" s="170"/>
      <c r="H98" s="171">
        <v>0</v>
      </c>
      <c r="I98" s="171">
        <v>0</v>
      </c>
      <c r="J98" s="172">
        <f t="shared" si="46"/>
        <v>0</v>
      </c>
      <c r="K98" s="134" t="s">
        <v>641</v>
      </c>
    </row>
    <row r="99" spans="1:11" x14ac:dyDescent="0.35">
      <c r="A99" s="150" t="s">
        <v>64</v>
      </c>
      <c r="B99" s="150">
        <v>3</v>
      </c>
      <c r="C99" s="170">
        <v>0</v>
      </c>
      <c r="D99" s="170">
        <v>4000</v>
      </c>
      <c r="E99" s="170">
        <v>0</v>
      </c>
      <c r="F99" s="170">
        <f t="shared" si="48"/>
        <v>0</v>
      </c>
      <c r="G99" s="170"/>
      <c r="H99" s="171">
        <v>0</v>
      </c>
      <c r="I99" s="171">
        <v>0</v>
      </c>
      <c r="J99" s="172">
        <f t="shared" si="46"/>
        <v>0</v>
      </c>
      <c r="K99" s="134" t="s">
        <v>641</v>
      </c>
    </row>
    <row r="100" spans="1:11" x14ac:dyDescent="0.35">
      <c r="A100" s="150" t="s">
        <v>26</v>
      </c>
      <c r="B100" s="150">
        <v>3</v>
      </c>
      <c r="C100" s="170">
        <v>30606.44</v>
      </c>
      <c r="D100" s="170">
        <v>4000</v>
      </c>
      <c r="E100" s="170">
        <v>3641</v>
      </c>
      <c r="F100" s="170">
        <f t="shared" si="48"/>
        <v>404.55555555555554</v>
      </c>
      <c r="G100" s="170"/>
      <c r="H100" s="171">
        <v>0</v>
      </c>
      <c r="I100" s="171">
        <v>0</v>
      </c>
      <c r="J100" s="172">
        <f t="shared" si="46"/>
        <v>0</v>
      </c>
      <c r="K100" s="134" t="s">
        <v>641</v>
      </c>
    </row>
    <row r="101" spans="1:11" ht="0.75" customHeight="1" x14ac:dyDescent="0.35">
      <c r="A101" s="150"/>
      <c r="B101" s="150">
        <v>3</v>
      </c>
      <c r="C101" s="175">
        <v>1253.3333333333333</v>
      </c>
      <c r="D101" s="175"/>
      <c r="E101" s="175"/>
      <c r="F101" s="175"/>
      <c r="G101" s="170"/>
      <c r="H101" s="176">
        <v>0</v>
      </c>
      <c r="I101" s="176"/>
      <c r="J101" s="177"/>
      <c r="K101" s="173"/>
    </row>
    <row r="102" spans="1:11" ht="21.75" thickBot="1" x14ac:dyDescent="0.4">
      <c r="A102" s="169" t="s">
        <v>320</v>
      </c>
      <c r="B102" s="150"/>
      <c r="C102" s="170">
        <f>SUM(C92:C101)</f>
        <v>67883.986666666664</v>
      </c>
      <c r="D102" s="170">
        <f t="shared" ref="D102:J102" si="49">SUM(D92:D101)</f>
        <v>28500</v>
      </c>
      <c r="E102" s="170">
        <f t="shared" si="49"/>
        <v>7778</v>
      </c>
      <c r="F102" s="170">
        <f>SUM(F96:F101)</f>
        <v>864.22222222222217</v>
      </c>
      <c r="G102" s="170"/>
      <c r="H102" s="191">
        <f t="shared" si="49"/>
        <v>0</v>
      </c>
      <c r="I102" s="191">
        <f t="shared" si="49"/>
        <v>5000</v>
      </c>
      <c r="J102" s="192">
        <f t="shared" si="49"/>
        <v>416.66666666666669</v>
      </c>
      <c r="K102" s="173"/>
    </row>
    <row r="103" spans="1:11" x14ac:dyDescent="0.35">
      <c r="A103" s="150"/>
      <c r="B103" s="150"/>
      <c r="C103" s="170"/>
      <c r="D103" s="150"/>
      <c r="E103" s="150"/>
      <c r="F103" s="150"/>
      <c r="G103" s="150"/>
      <c r="K103" s="173"/>
    </row>
    <row r="104" spans="1:11" x14ac:dyDescent="0.35">
      <c r="K104" s="173"/>
    </row>
  </sheetData>
  <pageMargins left="0.7" right="0.28000000000000003" top="0.46" bottom="0.17" header="0.3" footer="0.17"/>
  <pageSetup scale="4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0"/>
  <sheetViews>
    <sheetView zoomScale="80" zoomScaleNormal="80" workbookViewId="0">
      <pane xSplit="3" ySplit="4" topLeftCell="D45" activePane="bottomRight" state="frozen"/>
      <selection activeCell="I38" sqref="I38"/>
      <selection pane="topRight" activeCell="I38" sqref="I38"/>
      <selection pane="bottomLeft" activeCell="I38" sqref="I38"/>
      <selection pane="bottomRight" activeCell="A66" sqref="A66:XFD67"/>
    </sheetView>
  </sheetViews>
  <sheetFormatPr defaultRowHeight="21" x14ac:dyDescent="0.35"/>
  <cols>
    <col min="1" max="1" width="57.140625" style="134" bestFit="1" customWidth="1"/>
    <col min="2" max="2" width="9.140625" style="134" hidden="1" customWidth="1"/>
    <col min="3" max="3" width="12" style="134" hidden="1" customWidth="1"/>
    <col min="4" max="4" width="18.85546875" style="134" bestFit="1" customWidth="1"/>
    <col min="5" max="5" width="16.28515625" style="134" bestFit="1" customWidth="1"/>
    <col min="6" max="6" width="16.7109375" style="134" bestFit="1" customWidth="1"/>
    <col min="7" max="7" width="3.28515625" style="134" customWidth="1"/>
    <col min="8" max="8" width="9.140625" style="134" hidden="1" customWidth="1"/>
    <col min="9" max="9" width="34" style="134" customWidth="1"/>
    <col min="10" max="10" width="13.140625" style="134" bestFit="1" customWidth="1"/>
    <col min="11" max="11" width="67.140625" style="134" bestFit="1" customWidth="1"/>
    <col min="12" max="12" width="17.28515625" style="134" bestFit="1" customWidth="1"/>
    <col min="13" max="14" width="9.28515625" style="134" bestFit="1" customWidth="1"/>
    <col min="15" max="16384" width="9.140625" style="134"/>
  </cols>
  <sheetData>
    <row r="1" spans="1:13" x14ac:dyDescent="0.35">
      <c r="I1" s="135" t="str">
        <f>Rehab!I1</f>
        <v>Projected Annual Budget 2016</v>
      </c>
      <c r="J1" s="136"/>
      <c r="K1" s="137"/>
    </row>
    <row r="2" spans="1:13" x14ac:dyDescent="0.35">
      <c r="I2" s="138" t="s">
        <v>395</v>
      </c>
      <c r="J2" s="139"/>
      <c r="K2" s="173" t="s">
        <v>601</v>
      </c>
    </row>
    <row r="3" spans="1:13" ht="21.75" thickBot="1" x14ac:dyDescent="0.4">
      <c r="A3" s="36" t="s">
        <v>479</v>
      </c>
      <c r="D3" s="36"/>
      <c r="G3" s="170"/>
      <c r="I3" s="142"/>
      <c r="J3" s="139"/>
      <c r="K3" s="140"/>
    </row>
    <row r="4" spans="1:13" ht="63.75" thickBot="1" x14ac:dyDescent="0.4">
      <c r="A4" s="143" t="s">
        <v>77</v>
      </c>
      <c r="B4" s="143" t="s">
        <v>78</v>
      </c>
      <c r="C4" s="143" t="s">
        <v>79</v>
      </c>
      <c r="D4" s="144" t="str">
        <f>Rehab!D4</f>
        <v>2015 Annual Budget</v>
      </c>
      <c r="E4" s="144" t="str">
        <f>Rehab!E4</f>
        <v>YTD Actual FY 2015 @ 9/30/15</v>
      </c>
      <c r="F4" s="144" t="str">
        <f>Rehab!F4</f>
        <v>FY 2015 - 9 month Avg</v>
      </c>
      <c r="G4" s="141"/>
      <c r="H4" s="145"/>
      <c r="I4" s="146" t="s">
        <v>430</v>
      </c>
      <c r="J4" s="215" t="s">
        <v>431</v>
      </c>
      <c r="M4" s="36" t="s">
        <v>80</v>
      </c>
    </row>
    <row r="5" spans="1:13" x14ac:dyDescent="0.35">
      <c r="G5" s="141"/>
      <c r="H5" s="220"/>
      <c r="I5" s="220"/>
      <c r="J5" s="221"/>
      <c r="M5" s="161">
        <v>0.05</v>
      </c>
    </row>
    <row r="6" spans="1:13" x14ac:dyDescent="0.35">
      <c r="A6" s="150" t="s">
        <v>33</v>
      </c>
      <c r="B6" s="150">
        <v>3</v>
      </c>
      <c r="C6" s="170">
        <f>-2451678.54+33357</f>
        <v>-2418321.54</v>
      </c>
      <c r="D6" s="141">
        <v>-867620</v>
      </c>
      <c r="E6" s="141">
        <v>-663758</v>
      </c>
      <c r="F6" s="141">
        <f>E6/9</f>
        <v>-73750.888888888891</v>
      </c>
      <c r="G6" s="141"/>
      <c r="H6" s="155">
        <v>0</v>
      </c>
      <c r="I6" s="155">
        <v>-891650</v>
      </c>
      <c r="J6" s="156">
        <f t="shared" ref="J6:J10" si="0">I6/12</f>
        <v>-74304.166666666672</v>
      </c>
      <c r="L6" s="222">
        <f>SUM(E6)+(F6*3)*1.03</f>
        <v>-891648.2466666667</v>
      </c>
      <c r="M6" s="36" t="s">
        <v>396</v>
      </c>
    </row>
    <row r="7" spans="1:13" hidden="1" x14ac:dyDescent="0.35">
      <c r="A7" s="150" t="s">
        <v>215</v>
      </c>
      <c r="B7" s="150">
        <v>3</v>
      </c>
      <c r="C7" s="170">
        <v>1985</v>
      </c>
      <c r="D7" s="141">
        <v>0</v>
      </c>
      <c r="E7" s="141">
        <v>0</v>
      </c>
      <c r="F7" s="141">
        <f t="shared" ref="F7:F15" si="1">E7/9</f>
        <v>0</v>
      </c>
      <c r="G7" s="141"/>
      <c r="H7" s="155">
        <v>0</v>
      </c>
      <c r="I7" s="155">
        <v>0</v>
      </c>
      <c r="J7" s="156">
        <f t="shared" si="0"/>
        <v>0</v>
      </c>
      <c r="L7" s="222">
        <f t="shared" ref="L7:L16" si="2">SUM(E7)+(F7*3)*1.03</f>
        <v>0</v>
      </c>
      <c r="M7" s="161">
        <v>0.03</v>
      </c>
    </row>
    <row r="8" spans="1:13" hidden="1" x14ac:dyDescent="0.35">
      <c r="A8" s="150" t="s">
        <v>234</v>
      </c>
      <c r="B8" s="150"/>
      <c r="C8" s="170"/>
      <c r="D8" s="141">
        <v>0</v>
      </c>
      <c r="E8" s="141">
        <v>0</v>
      </c>
      <c r="F8" s="141">
        <f t="shared" si="1"/>
        <v>0</v>
      </c>
      <c r="G8" s="141"/>
      <c r="H8" s="155">
        <v>0</v>
      </c>
      <c r="I8" s="155">
        <v>0</v>
      </c>
      <c r="J8" s="156">
        <f t="shared" si="0"/>
        <v>0</v>
      </c>
      <c r="L8" s="222">
        <f t="shared" si="2"/>
        <v>0</v>
      </c>
      <c r="M8" s="161"/>
    </row>
    <row r="9" spans="1:13" x14ac:dyDescent="0.35">
      <c r="A9" s="150" t="s">
        <v>433</v>
      </c>
      <c r="B9" s="150"/>
      <c r="C9" s="170"/>
      <c r="D9" s="141">
        <v>0</v>
      </c>
      <c r="E9" s="141">
        <v>-795</v>
      </c>
      <c r="F9" s="141">
        <f t="shared" si="1"/>
        <v>-88.333333333333329</v>
      </c>
      <c r="G9" s="141"/>
      <c r="H9" s="155">
        <v>0</v>
      </c>
      <c r="I9" s="155">
        <v>-250</v>
      </c>
      <c r="J9" s="156">
        <f t="shared" si="0"/>
        <v>-20.833333333333332</v>
      </c>
      <c r="L9" s="222">
        <f t="shared" si="2"/>
        <v>-1067.95</v>
      </c>
      <c r="M9" s="161"/>
    </row>
    <row r="10" spans="1:13" x14ac:dyDescent="0.35">
      <c r="A10" s="150" t="s">
        <v>301</v>
      </c>
      <c r="B10" s="150"/>
      <c r="C10" s="170"/>
      <c r="D10" s="141">
        <v>0</v>
      </c>
      <c r="E10" s="141">
        <v>-700</v>
      </c>
      <c r="F10" s="141">
        <f t="shared" si="1"/>
        <v>-77.777777777777771</v>
      </c>
      <c r="G10" s="141"/>
      <c r="H10" s="155"/>
      <c r="I10" s="155">
        <v>-100</v>
      </c>
      <c r="J10" s="156">
        <f t="shared" si="0"/>
        <v>-8.3333333333333339</v>
      </c>
      <c r="L10" s="222">
        <f t="shared" si="2"/>
        <v>-940.33333333333326</v>
      </c>
      <c r="M10" s="161"/>
    </row>
    <row r="11" spans="1:13" x14ac:dyDescent="0.35">
      <c r="A11" s="150" t="s">
        <v>246</v>
      </c>
      <c r="B11" s="150">
        <v>3</v>
      </c>
      <c r="C11" s="170">
        <f>-9280.22-11865</f>
        <v>-21145.22</v>
      </c>
      <c r="D11" s="141">
        <v>-7260</v>
      </c>
      <c r="E11" s="141">
        <v>-7710</v>
      </c>
      <c r="F11" s="141">
        <f t="shared" si="1"/>
        <v>-856.66666666666663</v>
      </c>
      <c r="G11" s="141"/>
      <c r="H11" s="155">
        <f>D11*$M$7</f>
        <v>-217.79999999999998</v>
      </c>
      <c r="I11" s="155">
        <v>-10360</v>
      </c>
      <c r="J11" s="156">
        <f t="shared" ref="J11:J17" si="3">I11/12</f>
        <v>-863.33333333333337</v>
      </c>
      <c r="L11" s="222">
        <f t="shared" si="2"/>
        <v>-10357.1</v>
      </c>
    </row>
    <row r="12" spans="1:13" x14ac:dyDescent="0.35">
      <c r="A12" s="150" t="s">
        <v>216</v>
      </c>
      <c r="B12" s="150">
        <v>3</v>
      </c>
      <c r="C12" s="170">
        <f>-117798.93+25498</f>
        <v>-92300.93</v>
      </c>
      <c r="D12" s="141">
        <v>-38920</v>
      </c>
      <c r="E12" s="141">
        <v>-31388</v>
      </c>
      <c r="F12" s="141">
        <f t="shared" si="1"/>
        <v>-3487.5555555555557</v>
      </c>
      <c r="G12" s="141"/>
      <c r="H12" s="155">
        <v>0</v>
      </c>
      <c r="I12" s="155">
        <v>-42160</v>
      </c>
      <c r="J12" s="156">
        <f t="shared" si="3"/>
        <v>-3513.3333333333335</v>
      </c>
      <c r="L12" s="222">
        <f t="shared" si="2"/>
        <v>-42164.546666666669</v>
      </c>
    </row>
    <row r="13" spans="1:13" x14ac:dyDescent="0.35">
      <c r="A13" s="150" t="s">
        <v>34</v>
      </c>
      <c r="B13" s="150">
        <v>3</v>
      </c>
      <c r="C13" s="170">
        <f>37545.28-6545</f>
        <v>31000.28</v>
      </c>
      <c r="D13" s="141">
        <v>17350</v>
      </c>
      <c r="E13" s="141">
        <v>13999</v>
      </c>
      <c r="F13" s="141">
        <f t="shared" si="1"/>
        <v>1555.4444444444443</v>
      </c>
      <c r="G13" s="141"/>
      <c r="H13" s="155">
        <v>0</v>
      </c>
      <c r="I13" s="155">
        <v>17830</v>
      </c>
      <c r="J13" s="156">
        <f t="shared" si="3"/>
        <v>1485.8333333333333</v>
      </c>
      <c r="K13" s="173" t="s">
        <v>555</v>
      </c>
      <c r="L13" s="222">
        <f>SUM(I6)*0.02</f>
        <v>-17833</v>
      </c>
    </row>
    <row r="14" spans="1:13" x14ac:dyDescent="0.35">
      <c r="A14" s="150" t="s">
        <v>35</v>
      </c>
      <c r="B14" s="150">
        <v>3</v>
      </c>
      <c r="C14" s="170">
        <f>-591.99+9</f>
        <v>-582.99</v>
      </c>
      <c r="D14" s="141">
        <v>-200</v>
      </c>
      <c r="E14" s="141">
        <v>-134</v>
      </c>
      <c r="F14" s="141">
        <f t="shared" si="1"/>
        <v>-14.888888888888889</v>
      </c>
      <c r="G14" s="141"/>
      <c r="H14" s="155">
        <v>0</v>
      </c>
      <c r="I14" s="155">
        <v>-200</v>
      </c>
      <c r="J14" s="156">
        <f t="shared" si="3"/>
        <v>-16.666666666666668</v>
      </c>
      <c r="L14" s="222">
        <f t="shared" si="2"/>
        <v>-180.00666666666666</v>
      </c>
    </row>
    <row r="15" spans="1:13" x14ac:dyDescent="0.35">
      <c r="A15" s="150" t="s">
        <v>36</v>
      </c>
      <c r="B15" s="150">
        <v>3</v>
      </c>
      <c r="C15" s="170">
        <f>-29899.43+5813</f>
        <v>-24086.43</v>
      </c>
      <c r="D15" s="141">
        <v>-9700</v>
      </c>
      <c r="E15" s="141">
        <v>-9557</v>
      </c>
      <c r="F15" s="141">
        <f t="shared" si="1"/>
        <v>-1061.8888888888889</v>
      </c>
      <c r="G15" s="141"/>
      <c r="H15" s="155">
        <v>0</v>
      </c>
      <c r="I15" s="155">
        <v>-12840</v>
      </c>
      <c r="J15" s="156">
        <f t="shared" si="3"/>
        <v>-1070</v>
      </c>
      <c r="L15" s="222">
        <f t="shared" si="2"/>
        <v>-12838.236666666668</v>
      </c>
    </row>
    <row r="16" spans="1:13" x14ac:dyDescent="0.35">
      <c r="A16" s="150" t="s">
        <v>37</v>
      </c>
      <c r="B16" s="150">
        <v>3</v>
      </c>
      <c r="C16" s="170">
        <f>-26955.66+16674</f>
        <v>-10281.66</v>
      </c>
      <c r="D16" s="141">
        <v>-11400</v>
      </c>
      <c r="E16" s="141">
        <v>-5292</v>
      </c>
      <c r="F16" s="141">
        <f>E16/9</f>
        <v>-588</v>
      </c>
      <c r="G16" s="141"/>
      <c r="H16" s="155">
        <v>0</v>
      </c>
      <c r="I16" s="155">
        <v>-7110</v>
      </c>
      <c r="J16" s="156">
        <f t="shared" si="3"/>
        <v>-592.5</v>
      </c>
      <c r="L16" s="222">
        <f t="shared" si="2"/>
        <v>-7108.92</v>
      </c>
    </row>
    <row r="17" spans="1:12" x14ac:dyDescent="0.35">
      <c r="A17" s="150" t="s">
        <v>219</v>
      </c>
      <c r="B17" s="150">
        <v>3</v>
      </c>
      <c r="C17" s="175">
        <f>-76645.1+60013</f>
        <v>-16632.100000000006</v>
      </c>
      <c r="D17" s="164">
        <v>-5710</v>
      </c>
      <c r="E17" s="164">
        <v>-17424</v>
      </c>
      <c r="F17" s="164">
        <f>E17/9</f>
        <v>-1936</v>
      </c>
      <c r="G17" s="141"/>
      <c r="H17" s="165">
        <v>0</v>
      </c>
      <c r="I17" s="165">
        <v>-11580</v>
      </c>
      <c r="J17" s="167">
        <f t="shared" si="3"/>
        <v>-965</v>
      </c>
      <c r="K17" s="134" t="s">
        <v>631</v>
      </c>
      <c r="L17" s="222">
        <f>SUM(D17)+(F17*3)*1.01</f>
        <v>-11576.08</v>
      </c>
    </row>
    <row r="18" spans="1:12" x14ac:dyDescent="0.35">
      <c r="A18" s="150" t="s">
        <v>81</v>
      </c>
      <c r="B18" s="150"/>
      <c r="C18" s="170">
        <f>SUM(C6:C17)</f>
        <v>-2550365.5900000012</v>
      </c>
      <c r="D18" s="141">
        <f>SUM(D6:D17)</f>
        <v>-923460</v>
      </c>
      <c r="E18" s="141">
        <f>SUM(E6:E17)</f>
        <v>-722759</v>
      </c>
      <c r="F18" s="141">
        <f>SUM(F6:F17)</f>
        <v>-80306.555555555577</v>
      </c>
      <c r="G18" s="141"/>
      <c r="H18" s="155">
        <f>SUM(H6:H17)</f>
        <v>-217.79999999999998</v>
      </c>
      <c r="I18" s="155">
        <f>SUM(I6:I17)</f>
        <v>-958420</v>
      </c>
      <c r="J18" s="156">
        <f>SUM(J6:J17)</f>
        <v>-79868.333333333328</v>
      </c>
      <c r="K18" s="173"/>
    </row>
    <row r="19" spans="1:12" x14ac:dyDescent="0.35">
      <c r="A19" s="150"/>
      <c r="B19" s="150"/>
      <c r="C19" s="170"/>
      <c r="D19" s="141"/>
      <c r="E19" s="141"/>
      <c r="F19" s="141"/>
      <c r="G19" s="141"/>
      <c r="H19" s="223"/>
      <c r="I19" s="223"/>
      <c r="J19" s="224"/>
      <c r="K19" s="173"/>
    </row>
    <row r="20" spans="1:12" x14ac:dyDescent="0.35">
      <c r="A20" s="150" t="s">
        <v>82</v>
      </c>
      <c r="B20" s="150"/>
      <c r="C20" s="170">
        <f>C46</f>
        <v>338070.98</v>
      </c>
      <c r="D20" s="170">
        <f t="shared" ref="D20:E20" si="4">D46</f>
        <v>126420.4</v>
      </c>
      <c r="E20" s="170">
        <f t="shared" si="4"/>
        <v>98329</v>
      </c>
      <c r="F20" s="170">
        <f>E20/9</f>
        <v>10925.444444444445</v>
      </c>
      <c r="G20" s="170"/>
      <c r="H20" s="171">
        <f>H46</f>
        <v>4556.2119999999995</v>
      </c>
      <c r="I20" s="171">
        <f t="shared" ref="I20:J20" si="5">I46</f>
        <v>134630</v>
      </c>
      <c r="J20" s="172">
        <f t="shared" si="5"/>
        <v>11219.166666666666</v>
      </c>
      <c r="K20" s="178"/>
      <c r="L20" s="208"/>
    </row>
    <row r="21" spans="1:12" x14ac:dyDescent="0.35">
      <c r="A21" s="150" t="s">
        <v>90</v>
      </c>
      <c r="B21" s="150"/>
      <c r="C21" s="170">
        <f>C53</f>
        <v>287512.64</v>
      </c>
      <c r="D21" s="170">
        <f t="shared" ref="D21:E21" si="6">D53</f>
        <v>98310</v>
      </c>
      <c r="E21" s="170">
        <f t="shared" si="6"/>
        <v>64139</v>
      </c>
      <c r="F21" s="170">
        <f t="shared" ref="F21:F25" si="7">E21/9</f>
        <v>7126.5555555555557</v>
      </c>
      <c r="G21" s="170"/>
      <c r="H21" s="171">
        <f>H53</f>
        <v>5778.7000000000007</v>
      </c>
      <c r="I21" s="171">
        <f t="shared" ref="I21:J21" si="8">I53</f>
        <v>89130</v>
      </c>
      <c r="J21" s="172">
        <f t="shared" si="8"/>
        <v>7427.5</v>
      </c>
      <c r="K21" s="178"/>
    </row>
    <row r="22" spans="1:12" x14ac:dyDescent="0.35">
      <c r="A22" s="150" t="s">
        <v>95</v>
      </c>
      <c r="B22" s="150"/>
      <c r="C22" s="170">
        <f>C71</f>
        <v>705904.23</v>
      </c>
      <c r="D22" s="170">
        <f t="shared" ref="D22:E22" si="9">D71</f>
        <v>186920</v>
      </c>
      <c r="E22" s="170">
        <f t="shared" si="9"/>
        <v>146942</v>
      </c>
      <c r="F22" s="170">
        <f t="shared" si="7"/>
        <v>16326.888888888889</v>
      </c>
      <c r="G22" s="170"/>
      <c r="H22" s="171">
        <f>H71</f>
        <v>5607.5999999999995</v>
      </c>
      <c r="I22" s="171">
        <f t="shared" ref="I22:J22" si="10">I71</f>
        <v>215290</v>
      </c>
      <c r="J22" s="172">
        <f t="shared" si="10"/>
        <v>17940.833333333332</v>
      </c>
      <c r="K22" s="178"/>
    </row>
    <row r="23" spans="1:12" x14ac:dyDescent="0.35">
      <c r="A23" s="150" t="s">
        <v>83</v>
      </c>
      <c r="B23" s="150"/>
      <c r="C23" s="170">
        <f>C81</f>
        <v>540475.42999999993</v>
      </c>
      <c r="D23" s="170">
        <f t="shared" ref="D23:E23" si="11">D81</f>
        <v>189780</v>
      </c>
      <c r="E23" s="170">
        <f t="shared" si="11"/>
        <v>154927</v>
      </c>
      <c r="F23" s="170">
        <f t="shared" si="7"/>
        <v>17214.111111111109</v>
      </c>
      <c r="G23" s="170"/>
      <c r="H23" s="171">
        <f>H81</f>
        <v>5693.4</v>
      </c>
      <c r="I23" s="171">
        <f t="shared" ref="I23:J23" si="12">I81</f>
        <v>210410</v>
      </c>
      <c r="J23" s="172">
        <f t="shared" si="12"/>
        <v>17534.166666666668</v>
      </c>
      <c r="K23" s="178"/>
    </row>
    <row r="24" spans="1:12" x14ac:dyDescent="0.35">
      <c r="A24" s="150" t="s">
        <v>302</v>
      </c>
      <c r="B24" s="150"/>
      <c r="C24" s="170">
        <f>C86</f>
        <v>765378.33</v>
      </c>
      <c r="D24" s="170">
        <f>D86</f>
        <v>262820</v>
      </c>
      <c r="E24" s="170">
        <f>E86</f>
        <v>219017</v>
      </c>
      <c r="F24" s="170">
        <f t="shared" si="7"/>
        <v>24335.222222222223</v>
      </c>
      <c r="G24" s="170"/>
      <c r="H24" s="171">
        <f>H86</f>
        <v>0</v>
      </c>
      <c r="I24" s="171">
        <f>I86</f>
        <v>262820</v>
      </c>
      <c r="J24" s="172">
        <f>J86</f>
        <v>21901.666666666668</v>
      </c>
      <c r="K24" s="173"/>
    </row>
    <row r="25" spans="1:12" x14ac:dyDescent="0.35">
      <c r="A25" s="150" t="s">
        <v>84</v>
      </c>
      <c r="B25" s="150"/>
      <c r="C25" s="170">
        <f>C90</f>
        <v>105000</v>
      </c>
      <c r="D25" s="170">
        <f t="shared" ref="D25:E25" si="13">D90</f>
        <v>36000</v>
      </c>
      <c r="E25" s="170">
        <f t="shared" si="13"/>
        <v>27000</v>
      </c>
      <c r="F25" s="170">
        <f t="shared" si="7"/>
        <v>3000</v>
      </c>
      <c r="G25" s="170"/>
      <c r="H25" s="171">
        <f>H90</f>
        <v>0</v>
      </c>
      <c r="I25" s="171">
        <f t="shared" ref="I25:J25" si="14">I90</f>
        <v>36000</v>
      </c>
      <c r="J25" s="172">
        <f t="shared" si="14"/>
        <v>3000</v>
      </c>
      <c r="K25" s="178"/>
    </row>
    <row r="26" spans="1:12" x14ac:dyDescent="0.35">
      <c r="A26" s="150" t="s">
        <v>85</v>
      </c>
      <c r="B26" s="211"/>
      <c r="C26" s="175">
        <f>C100</f>
        <v>128709.03</v>
      </c>
      <c r="D26" s="175">
        <f t="shared" ref="D26:E26" si="15">D100</f>
        <v>118000</v>
      </c>
      <c r="E26" s="175">
        <f t="shared" si="15"/>
        <v>125970</v>
      </c>
      <c r="F26" s="175">
        <f>E26/9</f>
        <v>13996.666666666666</v>
      </c>
      <c r="G26" s="141"/>
      <c r="H26" s="176">
        <f>H100</f>
        <v>480</v>
      </c>
      <c r="I26" s="176">
        <f t="shared" ref="I26:J26" si="16">I100</f>
        <v>105000</v>
      </c>
      <c r="J26" s="177">
        <f t="shared" si="16"/>
        <v>8750</v>
      </c>
      <c r="K26" s="178"/>
    </row>
    <row r="27" spans="1:12" x14ac:dyDescent="0.35">
      <c r="A27" s="150" t="s">
        <v>86</v>
      </c>
      <c r="B27" s="150"/>
      <c r="C27" s="170">
        <f t="shared" ref="C27:J27" si="17">SUM(C20:C26)</f>
        <v>2871050.6399999997</v>
      </c>
      <c r="D27" s="170">
        <f t="shared" si="17"/>
        <v>1018250.4</v>
      </c>
      <c r="E27" s="170">
        <f t="shared" si="17"/>
        <v>836324</v>
      </c>
      <c r="F27" s="170">
        <f>SUM(F20:F26)</f>
        <v>92924.888888888891</v>
      </c>
      <c r="G27" s="141"/>
      <c r="H27" s="225">
        <f t="shared" si="17"/>
        <v>22115.911999999997</v>
      </c>
      <c r="I27" s="226">
        <f t="shared" si="17"/>
        <v>1053280</v>
      </c>
      <c r="J27" s="172">
        <f t="shared" si="17"/>
        <v>87773.333333333343</v>
      </c>
      <c r="K27" s="178"/>
    </row>
    <row r="28" spans="1:12" x14ac:dyDescent="0.35">
      <c r="A28" s="150"/>
      <c r="B28" s="150"/>
      <c r="C28" s="170"/>
      <c r="D28" s="170"/>
      <c r="E28" s="170"/>
      <c r="F28" s="170"/>
      <c r="G28" s="141"/>
      <c r="H28" s="225"/>
      <c r="I28" s="226"/>
      <c r="J28" s="172"/>
      <c r="K28" s="178"/>
    </row>
    <row r="29" spans="1:12" ht="21.75" thickBot="1" x14ac:dyDescent="0.4">
      <c r="A29" s="182" t="s">
        <v>87</v>
      </c>
      <c r="B29" s="183"/>
      <c r="C29" s="184">
        <f t="shared" ref="C29" si="18">SUM(-C18-C27)</f>
        <v>-320685.04999999842</v>
      </c>
      <c r="D29" s="185">
        <f t="shared" ref="D29:F29" si="19">SUM(D18+D27)</f>
        <v>94790.400000000023</v>
      </c>
      <c r="E29" s="185">
        <f t="shared" si="19"/>
        <v>113565</v>
      </c>
      <c r="F29" s="185">
        <f t="shared" si="19"/>
        <v>12618.333333333314</v>
      </c>
      <c r="G29" s="141"/>
      <c r="H29" s="186">
        <f>SUM(-H18-H27)</f>
        <v>-21898.111999999997</v>
      </c>
      <c r="I29" s="186">
        <f t="shared" ref="I29:J29" si="20">SUM(I18+I27)</f>
        <v>94860</v>
      </c>
      <c r="J29" s="187">
        <f t="shared" si="20"/>
        <v>7905.0000000000146</v>
      </c>
      <c r="K29" s="161"/>
    </row>
    <row r="30" spans="1:12" x14ac:dyDescent="0.35">
      <c r="A30" s="169" t="s">
        <v>454</v>
      </c>
      <c r="B30" s="150"/>
      <c r="C30" s="227"/>
      <c r="D30" s="227"/>
      <c r="E30" s="227"/>
      <c r="F30" s="227"/>
      <c r="G30" s="227"/>
      <c r="H30" s="228"/>
      <c r="I30" s="229"/>
      <c r="J30" s="230"/>
      <c r="K30" s="161"/>
    </row>
    <row r="31" spans="1:12" x14ac:dyDescent="0.35">
      <c r="A31" s="150" t="s">
        <v>38</v>
      </c>
      <c r="B31" s="150">
        <v>3</v>
      </c>
      <c r="C31" s="170">
        <f>12283.02-5351</f>
        <v>6932.02</v>
      </c>
      <c r="D31" s="170">
        <v>2380</v>
      </c>
      <c r="E31" s="170">
        <v>0</v>
      </c>
      <c r="F31" s="170">
        <f>E31/9</f>
        <v>0</v>
      </c>
      <c r="G31" s="170"/>
      <c r="H31" s="171">
        <f>E31*$M$7</f>
        <v>0</v>
      </c>
      <c r="I31" s="171">
        <v>1500</v>
      </c>
      <c r="J31" s="172">
        <f t="shared" ref="J31" si="21">I31/12</f>
        <v>125</v>
      </c>
      <c r="L31" s="134">
        <f t="shared" ref="L31:L45" si="22">SUM(E31)+(F31*3)*1.03</f>
        <v>0</v>
      </c>
    </row>
    <row r="32" spans="1:12" x14ac:dyDescent="0.35">
      <c r="A32" s="150" t="s">
        <v>39</v>
      </c>
      <c r="B32" s="150">
        <v>3</v>
      </c>
      <c r="C32" s="170">
        <f>21909.33+42343</f>
        <v>64252.33</v>
      </c>
      <c r="D32" s="170">
        <v>22060</v>
      </c>
      <c r="E32" s="170">
        <v>17779</v>
      </c>
      <c r="F32" s="170">
        <f t="shared" ref="F32:F44" si="23">E32/9</f>
        <v>1975.4444444444443</v>
      </c>
      <c r="G32" s="170"/>
      <c r="H32" s="171">
        <f>D32*$M$7</f>
        <v>661.8</v>
      </c>
      <c r="I32" s="171">
        <v>23880</v>
      </c>
      <c r="J32" s="172">
        <f t="shared" ref="J32:J99" si="24">I32/12</f>
        <v>1990</v>
      </c>
      <c r="L32" s="134">
        <f t="shared" si="22"/>
        <v>23883.123333333333</v>
      </c>
    </row>
    <row r="33" spans="1:12" x14ac:dyDescent="0.35">
      <c r="A33" s="150" t="s">
        <v>40</v>
      </c>
      <c r="B33" s="150">
        <v>3</v>
      </c>
      <c r="C33" s="170">
        <f>3386.02-357</f>
        <v>3029.02</v>
      </c>
      <c r="D33" s="170">
        <v>1040</v>
      </c>
      <c r="E33" s="170">
        <v>643</v>
      </c>
      <c r="F33" s="170">
        <f t="shared" si="23"/>
        <v>71.444444444444443</v>
      </c>
      <c r="G33" s="170"/>
      <c r="H33" s="171">
        <f>D33*$M$7</f>
        <v>31.2</v>
      </c>
      <c r="I33" s="171">
        <v>860</v>
      </c>
      <c r="J33" s="172">
        <f t="shared" si="24"/>
        <v>71.666666666666671</v>
      </c>
      <c r="L33" s="134">
        <f t="shared" si="22"/>
        <v>863.76333333333332</v>
      </c>
    </row>
    <row r="34" spans="1:12" x14ac:dyDescent="0.35">
      <c r="A34" s="150" t="s">
        <v>41</v>
      </c>
      <c r="B34" s="150">
        <v>3</v>
      </c>
      <c r="C34" s="170">
        <f>892.02+11</f>
        <v>903.02</v>
      </c>
      <c r="D34" s="170">
        <v>310</v>
      </c>
      <c r="E34" s="170">
        <v>217</v>
      </c>
      <c r="F34" s="170">
        <f t="shared" si="23"/>
        <v>24.111111111111111</v>
      </c>
      <c r="G34" s="170"/>
      <c r="H34" s="171">
        <f>D34*$M$7</f>
        <v>9.2999999999999989</v>
      </c>
      <c r="I34" s="171">
        <v>290</v>
      </c>
      <c r="J34" s="172">
        <f t="shared" si="24"/>
        <v>24.166666666666668</v>
      </c>
      <c r="L34" s="134">
        <f t="shared" si="22"/>
        <v>291.50333333333333</v>
      </c>
    </row>
    <row r="35" spans="1:12" x14ac:dyDescent="0.35">
      <c r="A35" s="150" t="s">
        <v>432</v>
      </c>
      <c r="B35" s="150">
        <v>3</v>
      </c>
      <c r="C35" s="170">
        <f>1140.06+1977</f>
        <v>3117.06</v>
      </c>
      <c r="D35" s="170">
        <v>1070</v>
      </c>
      <c r="E35" s="170">
        <v>718</v>
      </c>
      <c r="F35" s="170">
        <f t="shared" si="23"/>
        <v>79.777777777777771</v>
      </c>
      <c r="G35" s="170"/>
      <c r="H35" s="171">
        <f>D35*$M$7</f>
        <v>32.1</v>
      </c>
      <c r="I35" s="171">
        <v>960</v>
      </c>
      <c r="J35" s="172">
        <f t="shared" si="24"/>
        <v>80</v>
      </c>
      <c r="L35" s="134">
        <f t="shared" si="22"/>
        <v>964.51333333333332</v>
      </c>
    </row>
    <row r="36" spans="1:12" x14ac:dyDescent="0.35">
      <c r="A36" s="150" t="s">
        <v>221</v>
      </c>
      <c r="B36" s="150">
        <v>3</v>
      </c>
      <c r="C36" s="170">
        <f>127847.69-4733</f>
        <v>123114.69</v>
      </c>
      <c r="D36" s="170">
        <v>46160</v>
      </c>
      <c r="E36" s="170">
        <v>35636</v>
      </c>
      <c r="F36" s="170">
        <f t="shared" si="23"/>
        <v>3959.5555555555557</v>
      </c>
      <c r="G36" s="170"/>
      <c r="H36" s="171">
        <f>D36*$M$5</f>
        <v>2308</v>
      </c>
      <c r="I36" s="171">
        <v>47910</v>
      </c>
      <c r="J36" s="172">
        <f t="shared" si="24"/>
        <v>3992.5</v>
      </c>
      <c r="K36" s="213" t="s">
        <v>639</v>
      </c>
      <c r="L36" s="134">
        <f>(I18-I14)*(1)*0.05</f>
        <v>-47911</v>
      </c>
    </row>
    <row r="37" spans="1:12" x14ac:dyDescent="0.35">
      <c r="A37" s="150" t="s">
        <v>222</v>
      </c>
      <c r="B37" s="150">
        <v>3</v>
      </c>
      <c r="C37" s="170">
        <f>69006.74+10741</f>
        <v>79747.740000000005</v>
      </c>
      <c r="D37" s="170">
        <v>36000</v>
      </c>
      <c r="E37" s="170">
        <v>29534</v>
      </c>
      <c r="F37" s="170">
        <f t="shared" si="23"/>
        <v>3281.5555555555557</v>
      </c>
      <c r="G37" s="170"/>
      <c r="H37" s="171">
        <f>D37*$M$7</f>
        <v>1080</v>
      </c>
      <c r="I37" s="171">
        <v>39680</v>
      </c>
      <c r="J37" s="172">
        <f t="shared" si="24"/>
        <v>3306.6666666666665</v>
      </c>
      <c r="K37" s="173"/>
      <c r="L37" s="134">
        <f t="shared" si="22"/>
        <v>39674.006666666668</v>
      </c>
    </row>
    <row r="38" spans="1:12" x14ac:dyDescent="0.35">
      <c r="A38" s="150" t="s">
        <v>223</v>
      </c>
      <c r="B38" s="150">
        <v>3</v>
      </c>
      <c r="C38" s="170">
        <v>5086.9100000000008</v>
      </c>
      <c r="D38" s="170">
        <v>100</v>
      </c>
      <c r="E38" s="170">
        <v>1857</v>
      </c>
      <c r="F38" s="170">
        <f t="shared" si="23"/>
        <v>206.33333333333334</v>
      </c>
      <c r="G38" s="170"/>
      <c r="H38" s="171">
        <v>0</v>
      </c>
      <c r="I38" s="171">
        <v>500</v>
      </c>
      <c r="J38" s="172">
        <f t="shared" si="24"/>
        <v>41.666666666666664</v>
      </c>
      <c r="K38" s="134" t="s">
        <v>653</v>
      </c>
      <c r="L38" s="134">
        <f t="shared" si="22"/>
        <v>2494.5700000000002</v>
      </c>
    </row>
    <row r="39" spans="1:12" x14ac:dyDescent="0.35">
      <c r="A39" s="150" t="s">
        <v>43</v>
      </c>
      <c r="B39" s="150">
        <v>3</v>
      </c>
      <c r="C39" s="170">
        <f>2569.68+4333</f>
        <v>6902.68</v>
      </c>
      <c r="D39" s="170">
        <v>2370</v>
      </c>
      <c r="E39" s="170">
        <v>1935</v>
      </c>
      <c r="F39" s="170">
        <f t="shared" si="23"/>
        <v>215</v>
      </c>
      <c r="G39" s="170"/>
      <c r="H39" s="171">
        <f>D39*$M$7</f>
        <v>71.099999999999994</v>
      </c>
      <c r="I39" s="171">
        <v>2600</v>
      </c>
      <c r="J39" s="172">
        <f t="shared" si="24"/>
        <v>216.66666666666666</v>
      </c>
      <c r="L39" s="134">
        <f t="shared" si="22"/>
        <v>2599.35</v>
      </c>
    </row>
    <row r="40" spans="1:12" x14ac:dyDescent="0.35">
      <c r="A40" s="150" t="s">
        <v>44</v>
      </c>
      <c r="B40" s="150">
        <v>3</v>
      </c>
      <c r="C40" s="170">
        <f>21565.06+1677</f>
        <v>23242.06</v>
      </c>
      <c r="D40" s="170">
        <v>7300</v>
      </c>
      <c r="E40" s="170">
        <v>4312</v>
      </c>
      <c r="F40" s="170">
        <f t="shared" si="23"/>
        <v>479.11111111111109</v>
      </c>
      <c r="G40" s="170"/>
      <c r="H40" s="171">
        <f>D40*$M$7</f>
        <v>219</v>
      </c>
      <c r="I40" s="171">
        <v>5790</v>
      </c>
      <c r="J40" s="172">
        <f t="shared" si="24"/>
        <v>482.5</v>
      </c>
      <c r="L40" s="134">
        <f t="shared" si="22"/>
        <v>5792.4533333333329</v>
      </c>
    </row>
    <row r="41" spans="1:12" x14ac:dyDescent="0.35">
      <c r="A41" s="150" t="s">
        <v>224</v>
      </c>
      <c r="B41" s="150">
        <v>3</v>
      </c>
      <c r="C41" s="170">
        <v>2679.4300000000003</v>
      </c>
      <c r="D41" s="170">
        <v>1030</v>
      </c>
      <c r="E41" s="170">
        <v>747</v>
      </c>
      <c r="F41" s="170">
        <f t="shared" si="23"/>
        <v>83</v>
      </c>
      <c r="G41" s="170"/>
      <c r="H41" s="171">
        <f>D41*$M$7</f>
        <v>30.9</v>
      </c>
      <c r="I41" s="171">
        <v>1000</v>
      </c>
      <c r="J41" s="172">
        <f t="shared" si="24"/>
        <v>83.333333333333329</v>
      </c>
      <c r="L41" s="134">
        <f t="shared" si="22"/>
        <v>1003.47</v>
      </c>
    </row>
    <row r="42" spans="1:12" ht="42" x14ac:dyDescent="0.35">
      <c r="A42" s="150" t="s">
        <v>45</v>
      </c>
      <c r="B42" s="150">
        <v>3</v>
      </c>
      <c r="C42" s="170">
        <f>8023.51-1703</f>
        <v>6320.51</v>
      </c>
      <c r="D42" s="170">
        <v>2760.4</v>
      </c>
      <c r="E42" s="170">
        <v>1582</v>
      </c>
      <c r="F42" s="170">
        <f>E42/9</f>
        <v>175.77777777777777</v>
      </c>
      <c r="G42" s="170"/>
      <c r="H42" s="171">
        <f>D42*$M$7</f>
        <v>82.811999999999998</v>
      </c>
      <c r="I42" s="171">
        <f>2900+2130</f>
        <v>5030</v>
      </c>
      <c r="J42" s="172">
        <f t="shared" si="24"/>
        <v>419.16666666666669</v>
      </c>
      <c r="K42" s="173" t="s">
        <v>652</v>
      </c>
      <c r="L42" s="134">
        <f t="shared" si="22"/>
        <v>2125.1533333333332</v>
      </c>
    </row>
    <row r="43" spans="1:12" x14ac:dyDescent="0.35">
      <c r="A43" s="150" t="s">
        <v>225</v>
      </c>
      <c r="B43" s="150">
        <v>3</v>
      </c>
      <c r="C43" s="170">
        <f>15757.13-7777</f>
        <v>7980.1299999999992</v>
      </c>
      <c r="D43" s="170">
        <v>2740</v>
      </c>
      <c r="E43" s="170">
        <v>1600</v>
      </c>
      <c r="F43" s="170">
        <f t="shared" si="23"/>
        <v>177.77777777777777</v>
      </c>
      <c r="G43" s="170"/>
      <c r="H43" s="171">
        <v>0</v>
      </c>
      <c r="I43" s="171">
        <v>2150</v>
      </c>
      <c r="J43" s="172">
        <f t="shared" si="24"/>
        <v>179.16666666666666</v>
      </c>
      <c r="L43" s="134">
        <f t="shared" si="22"/>
        <v>2149.333333333333</v>
      </c>
    </row>
    <row r="44" spans="1:12" x14ac:dyDescent="0.35">
      <c r="A44" s="150" t="s">
        <v>226</v>
      </c>
      <c r="B44" s="150">
        <v>3</v>
      </c>
      <c r="C44" s="170">
        <v>685.78</v>
      </c>
      <c r="D44" s="170">
        <v>100</v>
      </c>
      <c r="E44" s="170">
        <v>0</v>
      </c>
      <c r="F44" s="170">
        <f t="shared" si="23"/>
        <v>0</v>
      </c>
      <c r="G44" s="170"/>
      <c r="H44" s="171">
        <v>0</v>
      </c>
      <c r="I44" s="171">
        <v>100</v>
      </c>
      <c r="J44" s="172">
        <f t="shared" si="24"/>
        <v>8.3333333333333339</v>
      </c>
      <c r="L44" s="134">
        <f t="shared" si="22"/>
        <v>0</v>
      </c>
    </row>
    <row r="45" spans="1:12" x14ac:dyDescent="0.35">
      <c r="A45" s="150" t="s">
        <v>46</v>
      </c>
      <c r="B45" s="150">
        <v>3</v>
      </c>
      <c r="C45" s="175">
        <f>3892.6+185</f>
        <v>4077.6</v>
      </c>
      <c r="D45" s="175">
        <v>1000</v>
      </c>
      <c r="E45" s="175">
        <v>1769</v>
      </c>
      <c r="F45" s="175">
        <f>E45/9</f>
        <v>196.55555555555554</v>
      </c>
      <c r="G45" s="170"/>
      <c r="H45" s="176">
        <f>D45*$M$7</f>
        <v>30</v>
      </c>
      <c r="I45" s="176">
        <v>2380</v>
      </c>
      <c r="J45" s="177">
        <f t="shared" si="24"/>
        <v>198.33333333333334</v>
      </c>
      <c r="K45" s="134" t="s">
        <v>625</v>
      </c>
      <c r="L45" s="134">
        <f t="shared" si="22"/>
        <v>2376.3566666666666</v>
      </c>
    </row>
    <row r="46" spans="1:12" x14ac:dyDescent="0.35">
      <c r="A46" s="169" t="s">
        <v>88</v>
      </c>
      <c r="B46" s="150"/>
      <c r="C46" s="170">
        <f>SUM(C31:C45)</f>
        <v>338070.98</v>
      </c>
      <c r="D46" s="170">
        <f t="shared" ref="D46:J46" si="25">SUM(D31:D45)</f>
        <v>126420.4</v>
      </c>
      <c r="E46" s="170">
        <f t="shared" si="25"/>
        <v>98329</v>
      </c>
      <c r="F46" s="170">
        <f>SUM(F31:F45)</f>
        <v>10925.444444444445</v>
      </c>
      <c r="G46" s="170"/>
      <c r="H46" s="171">
        <f t="shared" si="25"/>
        <v>4556.2119999999995</v>
      </c>
      <c r="I46" s="171">
        <f>SUM(I31:I45)</f>
        <v>134630</v>
      </c>
      <c r="J46" s="172">
        <f t="shared" si="25"/>
        <v>11219.166666666666</v>
      </c>
      <c r="K46" s="173"/>
    </row>
    <row r="47" spans="1:12" x14ac:dyDescent="0.35">
      <c r="A47" s="169"/>
      <c r="B47" s="150"/>
      <c r="C47" s="170"/>
      <c r="D47" s="170"/>
      <c r="E47" s="170"/>
      <c r="F47" s="170"/>
      <c r="G47" s="170"/>
      <c r="H47" s="171"/>
      <c r="I47" s="171"/>
      <c r="J47" s="172"/>
      <c r="K47" s="173"/>
    </row>
    <row r="48" spans="1:12" x14ac:dyDescent="0.35">
      <c r="A48" s="169" t="s">
        <v>455</v>
      </c>
      <c r="B48" s="150"/>
      <c r="C48" s="170"/>
      <c r="D48" s="170"/>
      <c r="E48" s="170"/>
      <c r="F48" s="170"/>
      <c r="G48" s="170"/>
      <c r="H48" s="228"/>
      <c r="I48" s="228"/>
      <c r="J48" s="230"/>
      <c r="K48" s="173"/>
    </row>
    <row r="49" spans="1:13" x14ac:dyDescent="0.35">
      <c r="A49" s="150" t="s">
        <v>227</v>
      </c>
      <c r="B49" s="150">
        <v>3</v>
      </c>
      <c r="C49" s="170">
        <f>36076.67+3541</f>
        <v>39617.67</v>
      </c>
      <c r="D49" s="170">
        <v>13680</v>
      </c>
      <c r="E49" s="170">
        <v>10693</v>
      </c>
      <c r="F49" s="170">
        <f>E49/9</f>
        <v>1188.1111111111111</v>
      </c>
      <c r="G49" s="170"/>
      <c r="H49" s="171">
        <f>D49*$M$49</f>
        <v>957.60000000000014</v>
      </c>
      <c r="I49" s="171">
        <v>14810</v>
      </c>
      <c r="J49" s="172">
        <f t="shared" si="24"/>
        <v>1234.1666666666667</v>
      </c>
      <c r="K49" s="173" t="s">
        <v>530</v>
      </c>
      <c r="M49" s="188">
        <v>7.0000000000000007E-2</v>
      </c>
    </row>
    <row r="50" spans="1:13" x14ac:dyDescent="0.35">
      <c r="A50" s="150" t="s">
        <v>47</v>
      </c>
      <c r="B50" s="150">
        <v>3</v>
      </c>
      <c r="C50" s="170">
        <f>87604.73-1091</f>
        <v>86513.73</v>
      </c>
      <c r="D50" s="170">
        <v>34700</v>
      </c>
      <c r="E50" s="170">
        <v>20268</v>
      </c>
      <c r="F50" s="170">
        <f t="shared" ref="F50:F51" si="26">E50/9</f>
        <v>2252</v>
      </c>
      <c r="G50" s="170"/>
      <c r="H50" s="171">
        <f>D50*$M$50</f>
        <v>1735</v>
      </c>
      <c r="I50" s="171">
        <v>28100</v>
      </c>
      <c r="J50" s="172">
        <f t="shared" si="24"/>
        <v>2341.6666666666665</v>
      </c>
      <c r="K50" s="173" t="s">
        <v>531</v>
      </c>
      <c r="L50" s="134">
        <f>SUM((E50+(F50*3))*1.04)</f>
        <v>28104.960000000003</v>
      </c>
      <c r="M50" s="188">
        <v>0.05</v>
      </c>
    </row>
    <row r="51" spans="1:13" x14ac:dyDescent="0.35">
      <c r="A51" s="150" t="s">
        <v>48</v>
      </c>
      <c r="B51" s="150">
        <v>3</v>
      </c>
      <c r="C51" s="170">
        <f>82543.24+12925</f>
        <v>95468.24</v>
      </c>
      <c r="D51" s="170">
        <v>29480</v>
      </c>
      <c r="E51" s="170">
        <v>15370</v>
      </c>
      <c r="F51" s="170">
        <f t="shared" si="26"/>
        <v>1707.7777777777778</v>
      </c>
      <c r="G51" s="170"/>
      <c r="H51" s="171">
        <f>D51*$M$51</f>
        <v>2063.6000000000004</v>
      </c>
      <c r="I51" s="171">
        <v>21520</v>
      </c>
      <c r="J51" s="172">
        <f t="shared" si="24"/>
        <v>1793.3333333333333</v>
      </c>
      <c r="K51" s="173" t="s">
        <v>590</v>
      </c>
      <c r="L51" s="134">
        <f>SUM((E51+(F51*3))*1.05)</f>
        <v>21518.000000000004</v>
      </c>
      <c r="M51" s="188">
        <v>7.0000000000000007E-2</v>
      </c>
    </row>
    <row r="52" spans="1:13" x14ac:dyDescent="0.35">
      <c r="A52" s="150" t="s">
        <v>49</v>
      </c>
      <c r="B52" s="150">
        <v>3</v>
      </c>
      <c r="C52" s="175">
        <f>48760+17153</f>
        <v>65913</v>
      </c>
      <c r="D52" s="175">
        <v>20450</v>
      </c>
      <c r="E52" s="175">
        <v>17808</v>
      </c>
      <c r="F52" s="175">
        <f>E52/9</f>
        <v>1978.6666666666667</v>
      </c>
      <c r="G52" s="170"/>
      <c r="H52" s="176">
        <f>D52*$M$52</f>
        <v>1022.5</v>
      </c>
      <c r="I52" s="176">
        <v>24700</v>
      </c>
      <c r="J52" s="177">
        <f t="shared" si="24"/>
        <v>2058.3333333333335</v>
      </c>
      <c r="K52" s="173" t="s">
        <v>531</v>
      </c>
      <c r="L52" s="134">
        <f>SUM((E52+(F52*3))*1.04)</f>
        <v>24693.760000000002</v>
      </c>
      <c r="M52" s="188">
        <v>0.05</v>
      </c>
    </row>
    <row r="53" spans="1:13" x14ac:dyDescent="0.35">
      <c r="A53" s="169" t="s">
        <v>89</v>
      </c>
      <c r="B53" s="150"/>
      <c r="C53" s="170">
        <f>SUM(C49:C52)</f>
        <v>287512.64</v>
      </c>
      <c r="D53" s="170">
        <f>SUM(D49:D52)</f>
        <v>98310</v>
      </c>
      <c r="E53" s="170">
        <f>SUM(E49:E52)</f>
        <v>64139</v>
      </c>
      <c r="F53" s="170">
        <f>SUM(F49:F52)</f>
        <v>7126.5555555555557</v>
      </c>
      <c r="G53" s="170"/>
      <c r="H53" s="228">
        <f>SUM(H49:H52)</f>
        <v>5778.7000000000007</v>
      </c>
      <c r="I53" s="228">
        <f t="shared" ref="I53:J53" si="27">SUM(I49:I52)</f>
        <v>89130</v>
      </c>
      <c r="J53" s="231">
        <f t="shared" si="27"/>
        <v>7427.5</v>
      </c>
      <c r="K53" s="173"/>
    </row>
    <row r="54" spans="1:13" x14ac:dyDescent="0.35">
      <c r="A54" s="169"/>
      <c r="B54" s="150"/>
      <c r="C54" s="170"/>
      <c r="D54" s="170"/>
      <c r="E54" s="170"/>
      <c r="F54" s="170"/>
      <c r="G54" s="170"/>
      <c r="H54" s="228"/>
      <c r="I54" s="228"/>
      <c r="J54" s="231"/>
      <c r="K54" s="173"/>
    </row>
    <row r="55" spans="1:13" x14ac:dyDescent="0.35">
      <c r="A55" s="169" t="s">
        <v>456</v>
      </c>
      <c r="B55" s="150"/>
      <c r="C55" s="170"/>
      <c r="D55" s="170"/>
      <c r="E55" s="170"/>
      <c r="F55" s="170"/>
      <c r="G55" s="170"/>
      <c r="H55" s="228"/>
      <c r="I55" s="228"/>
      <c r="J55" s="231"/>
      <c r="K55" s="173"/>
    </row>
    <row r="56" spans="1:13" x14ac:dyDescent="0.35">
      <c r="A56" s="150" t="s">
        <v>50</v>
      </c>
      <c r="B56" s="150">
        <v>3</v>
      </c>
      <c r="C56" s="170">
        <f>760.15-411</f>
        <v>349.15</v>
      </c>
      <c r="D56" s="170">
        <v>120</v>
      </c>
      <c r="E56" s="170">
        <v>0</v>
      </c>
      <c r="F56" s="170">
        <f>E56/9</f>
        <v>0</v>
      </c>
      <c r="G56" s="170"/>
      <c r="H56" s="171">
        <v>0</v>
      </c>
      <c r="I56" s="171">
        <v>120</v>
      </c>
      <c r="J56" s="172">
        <f t="shared" si="24"/>
        <v>10</v>
      </c>
      <c r="K56" s="173"/>
      <c r="L56" s="134">
        <f t="shared" ref="L56:L65" si="28">SUM(E56)+(F56*3)*1.03</f>
        <v>0</v>
      </c>
    </row>
    <row r="57" spans="1:13" x14ac:dyDescent="0.35">
      <c r="A57" s="150" t="s">
        <v>51</v>
      </c>
      <c r="B57" s="150">
        <v>3</v>
      </c>
      <c r="C57" s="170">
        <f>77444.85+13633</f>
        <v>91077.85</v>
      </c>
      <c r="D57" s="170">
        <v>23400</v>
      </c>
      <c r="E57" s="170">
        <v>22514</v>
      </c>
      <c r="F57" s="170">
        <f t="shared" ref="F57:F69" si="29">E57/9</f>
        <v>2501.5555555555557</v>
      </c>
      <c r="G57" s="170"/>
      <c r="H57" s="171">
        <f>D57*$M$7</f>
        <v>702</v>
      </c>
      <c r="I57" s="171">
        <v>30240</v>
      </c>
      <c r="J57" s="172">
        <f t="shared" si="24"/>
        <v>2520</v>
      </c>
      <c r="K57" s="173"/>
      <c r="L57" s="134">
        <f t="shared" si="28"/>
        <v>30243.806666666667</v>
      </c>
    </row>
    <row r="58" spans="1:13" x14ac:dyDescent="0.35">
      <c r="A58" s="150" t="s">
        <v>52</v>
      </c>
      <c r="B58" s="150">
        <v>3</v>
      </c>
      <c r="C58" s="170">
        <f>9830.86+567</f>
        <v>10397.86</v>
      </c>
      <c r="D58" s="170">
        <v>2910</v>
      </c>
      <c r="E58" s="170">
        <v>3998</v>
      </c>
      <c r="F58" s="170">
        <f t="shared" si="29"/>
        <v>444.22222222222223</v>
      </c>
      <c r="G58" s="170"/>
      <c r="H58" s="171">
        <f>D58*$M$7</f>
        <v>87.3</v>
      </c>
      <c r="I58" s="171">
        <v>5370</v>
      </c>
      <c r="J58" s="172">
        <f t="shared" si="24"/>
        <v>447.5</v>
      </c>
      <c r="L58" s="134">
        <f t="shared" si="28"/>
        <v>5370.6466666666665</v>
      </c>
    </row>
    <row r="59" spans="1:13" x14ac:dyDescent="0.35">
      <c r="A59" s="150" t="s">
        <v>53</v>
      </c>
      <c r="B59" s="150">
        <v>3</v>
      </c>
      <c r="C59" s="170">
        <f>27140.65-3315</f>
        <v>23825.65</v>
      </c>
      <c r="D59" s="170">
        <v>9780</v>
      </c>
      <c r="E59" s="170">
        <v>6863</v>
      </c>
      <c r="F59" s="170">
        <f t="shared" si="29"/>
        <v>762.55555555555554</v>
      </c>
      <c r="G59" s="170"/>
      <c r="H59" s="171">
        <f>D59*$M$7</f>
        <v>293.39999999999998</v>
      </c>
      <c r="I59" s="171">
        <f>D59+300</f>
        <v>10080</v>
      </c>
      <c r="J59" s="172">
        <f t="shared" si="24"/>
        <v>840</v>
      </c>
      <c r="K59" s="173" t="s">
        <v>583</v>
      </c>
      <c r="L59" s="134">
        <f t="shared" si="28"/>
        <v>9219.2966666666671</v>
      </c>
    </row>
    <row r="60" spans="1:13" x14ac:dyDescent="0.35">
      <c r="A60" s="150" t="s">
        <v>243</v>
      </c>
      <c r="B60" s="150">
        <v>3</v>
      </c>
      <c r="C60" s="170">
        <f>1536.47+1200</f>
        <v>2736.4700000000003</v>
      </c>
      <c r="D60" s="170">
        <v>820</v>
      </c>
      <c r="E60" s="170">
        <v>485</v>
      </c>
      <c r="F60" s="170">
        <f t="shared" si="29"/>
        <v>53.888888888888886</v>
      </c>
      <c r="G60" s="170"/>
      <c r="H60" s="171">
        <f>D60*$M$7</f>
        <v>24.599999999999998</v>
      </c>
      <c r="I60" s="171">
        <v>650</v>
      </c>
      <c r="J60" s="172">
        <f t="shared" si="24"/>
        <v>54.166666666666664</v>
      </c>
      <c r="L60" s="134">
        <f t="shared" si="28"/>
        <v>651.51666666666665</v>
      </c>
    </row>
    <row r="61" spans="1:13" x14ac:dyDescent="0.35">
      <c r="A61" s="150" t="s">
        <v>54</v>
      </c>
      <c r="B61" s="150">
        <v>3</v>
      </c>
      <c r="C61" s="170">
        <f>34471.92+14985</f>
        <v>49456.92</v>
      </c>
      <c r="D61" s="170">
        <v>10730</v>
      </c>
      <c r="E61" s="170">
        <v>11572</v>
      </c>
      <c r="F61" s="170">
        <f t="shared" si="29"/>
        <v>1285.7777777777778</v>
      </c>
      <c r="G61" s="170"/>
      <c r="H61" s="171">
        <f>D61*$M$7</f>
        <v>321.89999999999998</v>
      </c>
      <c r="I61" s="171">
        <v>15540</v>
      </c>
      <c r="J61" s="172">
        <f t="shared" si="24"/>
        <v>1295</v>
      </c>
      <c r="L61" s="134">
        <f t="shared" si="28"/>
        <v>15545.053333333333</v>
      </c>
    </row>
    <row r="62" spans="1:13" hidden="1" x14ac:dyDescent="0.35">
      <c r="A62" s="150" t="s">
        <v>439</v>
      </c>
      <c r="B62" s="150"/>
      <c r="C62" s="170"/>
      <c r="D62" s="170">
        <v>0</v>
      </c>
      <c r="E62" s="170">
        <v>0</v>
      </c>
      <c r="F62" s="170">
        <f t="shared" si="29"/>
        <v>0</v>
      </c>
      <c r="G62" s="170"/>
      <c r="H62" s="171">
        <v>0</v>
      </c>
      <c r="I62" s="171">
        <v>0</v>
      </c>
      <c r="J62" s="172">
        <f t="shared" si="24"/>
        <v>0</v>
      </c>
      <c r="L62" s="134">
        <f t="shared" si="28"/>
        <v>0</v>
      </c>
    </row>
    <row r="63" spans="1:13" hidden="1" x14ac:dyDescent="0.35">
      <c r="A63" s="150" t="s">
        <v>228</v>
      </c>
      <c r="B63" s="150"/>
      <c r="C63" s="170"/>
      <c r="D63" s="170">
        <v>0</v>
      </c>
      <c r="E63" s="170">
        <v>0</v>
      </c>
      <c r="F63" s="170">
        <f t="shared" si="29"/>
        <v>0</v>
      </c>
      <c r="G63" s="170"/>
      <c r="H63" s="171">
        <v>0</v>
      </c>
      <c r="I63" s="171">
        <v>0</v>
      </c>
      <c r="J63" s="172">
        <f t="shared" si="24"/>
        <v>0</v>
      </c>
      <c r="L63" s="134">
        <f t="shared" si="28"/>
        <v>0</v>
      </c>
    </row>
    <row r="64" spans="1:13" x14ac:dyDescent="0.35">
      <c r="A64" s="150" t="s">
        <v>230</v>
      </c>
      <c r="B64" s="150">
        <v>3</v>
      </c>
      <c r="C64" s="170">
        <f>127494.02-5979</f>
        <v>121515.02</v>
      </c>
      <c r="D64" s="170">
        <v>41720</v>
      </c>
      <c r="E64" s="170">
        <v>22282</v>
      </c>
      <c r="F64" s="170">
        <f t="shared" si="29"/>
        <v>2475.7777777777778</v>
      </c>
      <c r="G64" s="170"/>
      <c r="H64" s="171">
        <f>D64*$M$7</f>
        <v>1251.5999999999999</v>
      </c>
      <c r="I64" s="171">
        <v>29930</v>
      </c>
      <c r="J64" s="172">
        <f t="shared" si="24"/>
        <v>2494.1666666666665</v>
      </c>
      <c r="L64" s="134">
        <f t="shared" si="28"/>
        <v>29932.153333333335</v>
      </c>
    </row>
    <row r="65" spans="1:14" x14ac:dyDescent="0.35">
      <c r="A65" s="150" t="s">
        <v>55</v>
      </c>
      <c r="B65" s="150">
        <v>3</v>
      </c>
      <c r="C65" s="170">
        <f>134699.01+54331</f>
        <v>189030.01</v>
      </c>
      <c r="D65" s="170">
        <v>45220</v>
      </c>
      <c r="E65" s="170">
        <v>27892</v>
      </c>
      <c r="F65" s="170">
        <f t="shared" si="29"/>
        <v>3099.1111111111113</v>
      </c>
      <c r="G65" s="170"/>
      <c r="H65" s="171">
        <f>D65*$M$7</f>
        <v>1356.6</v>
      </c>
      <c r="I65" s="171">
        <v>37470</v>
      </c>
      <c r="J65" s="172">
        <f t="shared" si="24"/>
        <v>3122.5</v>
      </c>
      <c r="L65" s="134">
        <f t="shared" si="28"/>
        <v>37468.253333333334</v>
      </c>
    </row>
    <row r="66" spans="1:14" x14ac:dyDescent="0.35">
      <c r="A66" s="150" t="s">
        <v>526</v>
      </c>
      <c r="B66" s="150"/>
      <c r="C66" s="151"/>
      <c r="D66" s="170">
        <v>0</v>
      </c>
      <c r="E66" s="170">
        <v>0</v>
      </c>
      <c r="F66" s="170">
        <f>E66/9</f>
        <v>0</v>
      </c>
      <c r="G66" s="170"/>
      <c r="H66" s="171"/>
      <c r="I66" s="171">
        <v>2000</v>
      </c>
      <c r="J66" s="172">
        <f>I66/12</f>
        <v>166.66666666666666</v>
      </c>
      <c r="K66" s="173" t="s">
        <v>623</v>
      </c>
      <c r="L66" s="134">
        <f t="shared" ref="L66:L67" si="30">SUM((E66+(F66*3))*1.03)</f>
        <v>0</v>
      </c>
    </row>
    <row r="67" spans="1:14" x14ac:dyDescent="0.35">
      <c r="A67" s="150" t="s">
        <v>527</v>
      </c>
      <c r="B67" s="150"/>
      <c r="C67" s="151"/>
      <c r="D67" s="170">
        <v>0</v>
      </c>
      <c r="E67" s="170">
        <v>0</v>
      </c>
      <c r="F67" s="170">
        <f>E67/9</f>
        <v>0</v>
      </c>
      <c r="G67" s="170"/>
      <c r="H67" s="171"/>
      <c r="I67" s="171">
        <v>2000</v>
      </c>
      <c r="J67" s="172">
        <f>I67/12</f>
        <v>166.66666666666666</v>
      </c>
      <c r="K67" s="173" t="s">
        <v>623</v>
      </c>
      <c r="L67" s="134">
        <f t="shared" si="30"/>
        <v>0</v>
      </c>
    </row>
    <row r="68" spans="1:14" x14ac:dyDescent="0.35">
      <c r="A68" s="150" t="s">
        <v>648</v>
      </c>
      <c r="B68" s="150"/>
      <c r="C68" s="151"/>
      <c r="D68" s="141">
        <v>0</v>
      </c>
      <c r="E68" s="170">
        <v>0</v>
      </c>
      <c r="F68" s="170">
        <f t="shared" si="29"/>
        <v>0</v>
      </c>
      <c r="G68" s="170"/>
      <c r="H68" s="171">
        <f t="shared" ref="H68" si="31">D68*$N$8</f>
        <v>0</v>
      </c>
      <c r="I68" s="171">
        <v>12000</v>
      </c>
      <c r="J68" s="172">
        <f t="shared" si="24"/>
        <v>1000</v>
      </c>
      <c r="K68" s="173" t="s">
        <v>623</v>
      </c>
      <c r="L68" s="134">
        <f t="shared" ref="L68" si="32">SUM((E68+(F68*3))*1.03)</f>
        <v>0</v>
      </c>
    </row>
    <row r="69" spans="1:14" x14ac:dyDescent="0.35">
      <c r="A69" s="150" t="s">
        <v>56</v>
      </c>
      <c r="B69" s="150">
        <v>3</v>
      </c>
      <c r="C69" s="170">
        <f>173311.49+17349</f>
        <v>190660.49</v>
      </c>
      <c r="D69" s="170">
        <v>43000</v>
      </c>
      <c r="E69" s="170">
        <v>42646</v>
      </c>
      <c r="F69" s="170">
        <f t="shared" si="29"/>
        <v>4738.4444444444443</v>
      </c>
      <c r="G69" s="170"/>
      <c r="H69" s="171">
        <f>D69*$M$7</f>
        <v>1290</v>
      </c>
      <c r="I69" s="171">
        <v>57290</v>
      </c>
      <c r="J69" s="172">
        <f t="shared" si="24"/>
        <v>4774.166666666667</v>
      </c>
      <c r="L69" s="134">
        <f t="shared" ref="L69:L70" si="33">SUM(E69)+(F69*3)*1.03</f>
        <v>57287.793333333335</v>
      </c>
    </row>
    <row r="70" spans="1:14" x14ac:dyDescent="0.35">
      <c r="A70" s="150" t="s">
        <v>57</v>
      </c>
      <c r="B70" s="150">
        <v>3</v>
      </c>
      <c r="C70" s="175">
        <f>33519.81-6665</f>
        <v>26854.809999999998</v>
      </c>
      <c r="D70" s="175">
        <v>9220</v>
      </c>
      <c r="E70" s="175">
        <v>8690</v>
      </c>
      <c r="F70" s="175">
        <f>E70/9</f>
        <v>965.55555555555554</v>
      </c>
      <c r="G70" s="170"/>
      <c r="H70" s="176">
        <f t="shared" ref="H70" si="34">I70/9*12</f>
        <v>16800</v>
      </c>
      <c r="I70" s="176">
        <v>12600</v>
      </c>
      <c r="J70" s="177">
        <f t="shared" si="24"/>
        <v>1050</v>
      </c>
      <c r="K70" s="134" t="s">
        <v>655</v>
      </c>
      <c r="L70" s="134">
        <f t="shared" si="33"/>
        <v>11673.566666666666</v>
      </c>
    </row>
    <row r="71" spans="1:14" x14ac:dyDescent="0.35">
      <c r="A71" s="169" t="s">
        <v>91</v>
      </c>
      <c r="B71" s="150"/>
      <c r="C71" s="170">
        <f>SUM(C56:C70)</f>
        <v>705904.23</v>
      </c>
      <c r="D71" s="170">
        <f>SUM(D56:D70)</f>
        <v>186920</v>
      </c>
      <c r="E71" s="170">
        <f>SUM(E56:E70)</f>
        <v>146942</v>
      </c>
      <c r="F71" s="170">
        <f>SUM(F56:F70)</f>
        <v>16326.888888888887</v>
      </c>
      <c r="G71" s="170"/>
      <c r="H71" s="225">
        <f>D71*$M$7</f>
        <v>5607.5999999999995</v>
      </c>
      <c r="I71" s="228">
        <f>SUM(I55:I70)</f>
        <v>215290</v>
      </c>
      <c r="J71" s="231">
        <f t="shared" si="24"/>
        <v>17940.833333333332</v>
      </c>
    </row>
    <row r="72" spans="1:14" x14ac:dyDescent="0.35">
      <c r="A72" s="150"/>
      <c r="B72" s="150"/>
      <c r="C72" s="227"/>
      <c r="D72" s="227"/>
      <c r="E72" s="227"/>
      <c r="F72" s="227"/>
      <c r="G72" s="227"/>
      <c r="H72" s="228"/>
      <c r="I72" s="229"/>
      <c r="J72" s="230"/>
      <c r="K72" s="232"/>
    </row>
    <row r="73" spans="1:14" x14ac:dyDescent="0.35">
      <c r="A73" s="169" t="s">
        <v>457</v>
      </c>
      <c r="B73" s="150"/>
      <c r="C73" s="227"/>
      <c r="D73" s="227"/>
      <c r="E73" s="227"/>
      <c r="F73" s="227"/>
      <c r="G73" s="227"/>
      <c r="H73" s="228"/>
      <c r="I73" s="229"/>
      <c r="J73" s="230"/>
      <c r="K73" s="232"/>
    </row>
    <row r="74" spans="1:14" x14ac:dyDescent="0.35">
      <c r="A74" s="150" t="s">
        <v>42</v>
      </c>
      <c r="B74" s="150">
        <v>3</v>
      </c>
      <c r="C74" s="170">
        <f>18381.82+3755</f>
        <v>22136.82</v>
      </c>
      <c r="D74" s="170">
        <v>7730</v>
      </c>
      <c r="E74" s="170">
        <v>6755</v>
      </c>
      <c r="F74" s="170">
        <f>E74/9</f>
        <v>750.55555555555554</v>
      </c>
      <c r="G74" s="170"/>
      <c r="H74" s="171">
        <v>0</v>
      </c>
      <c r="I74" s="171">
        <v>9250</v>
      </c>
      <c r="J74" s="172">
        <f t="shared" si="24"/>
        <v>770.83333333333337</v>
      </c>
      <c r="K74" s="173" t="s">
        <v>427</v>
      </c>
      <c r="L74" s="134">
        <f>SUM(I32+I37+I69)*7.65%</f>
        <v>9245.0249999999996</v>
      </c>
      <c r="M74" s="199">
        <v>7.6499999999999999E-2</v>
      </c>
      <c r="N74" s="134">
        <f>SUM(I70)*7.65%</f>
        <v>963.9</v>
      </c>
    </row>
    <row r="75" spans="1:14" x14ac:dyDescent="0.35">
      <c r="A75" s="150" t="s">
        <v>231</v>
      </c>
      <c r="B75" s="150">
        <v>3</v>
      </c>
      <c r="C75" s="170">
        <f>40939.91+16031</f>
        <v>56970.91</v>
      </c>
      <c r="D75" s="170">
        <v>15480</v>
      </c>
      <c r="E75" s="170">
        <v>17148</v>
      </c>
      <c r="F75" s="170">
        <f t="shared" ref="F75:F79" si="35">E75/9</f>
        <v>1905.3333333333333</v>
      </c>
      <c r="G75" s="170"/>
      <c r="H75" s="171">
        <f>D75*$M$75</f>
        <v>774</v>
      </c>
      <c r="I75" s="171">
        <v>17320</v>
      </c>
      <c r="J75" s="172">
        <f t="shared" si="24"/>
        <v>1443.3333333333333</v>
      </c>
      <c r="K75" s="173" t="s">
        <v>571</v>
      </c>
      <c r="L75" s="134">
        <f>E75*1.01</f>
        <v>17319.48</v>
      </c>
      <c r="M75" s="188">
        <v>0.05</v>
      </c>
    </row>
    <row r="76" spans="1:14" x14ac:dyDescent="0.35">
      <c r="A76" s="150" t="s">
        <v>59</v>
      </c>
      <c r="B76" s="150">
        <v>3</v>
      </c>
      <c r="C76" s="170">
        <f>63190.46+1332</f>
        <v>64522.46</v>
      </c>
      <c r="D76" s="170">
        <v>30320</v>
      </c>
      <c r="E76" s="170">
        <v>20431</v>
      </c>
      <c r="F76" s="170">
        <f t="shared" si="35"/>
        <v>2270.1111111111113</v>
      </c>
      <c r="G76" s="170"/>
      <c r="H76" s="171">
        <v>0</v>
      </c>
      <c r="I76" s="171">
        <v>36260</v>
      </c>
      <c r="J76" s="172">
        <f t="shared" si="24"/>
        <v>3021.6666666666665</v>
      </c>
      <c r="K76" s="173" t="s">
        <v>424</v>
      </c>
      <c r="L76" s="134">
        <f>SUM(I32+I37+I69)*0.3</f>
        <v>36255</v>
      </c>
      <c r="M76" s="188">
        <v>0.3</v>
      </c>
      <c r="N76" s="134">
        <f>SUM(I70)*30%</f>
        <v>3780</v>
      </c>
    </row>
    <row r="77" spans="1:14" x14ac:dyDescent="0.35">
      <c r="A77" s="150" t="s">
        <v>232</v>
      </c>
      <c r="B77" s="150">
        <v>3</v>
      </c>
      <c r="C77" s="170">
        <f>2729.88+9</f>
        <v>2738.88</v>
      </c>
      <c r="D77" s="170">
        <v>940</v>
      </c>
      <c r="E77" s="170">
        <v>2532</v>
      </c>
      <c r="F77" s="170">
        <f t="shared" si="35"/>
        <v>281.33333333333331</v>
      </c>
      <c r="G77" s="170"/>
      <c r="H77" s="171">
        <v>0</v>
      </c>
      <c r="I77" s="171">
        <v>3370</v>
      </c>
      <c r="J77" s="172">
        <f t="shared" si="24"/>
        <v>280.83333333333331</v>
      </c>
      <c r="K77" s="173" t="s">
        <v>640</v>
      </c>
      <c r="N77" s="134">
        <f>SUM((E77+(F77*3))*1.03)</f>
        <v>3477.28</v>
      </c>
    </row>
    <row r="78" spans="1:14" x14ac:dyDescent="0.35">
      <c r="A78" s="150" t="s">
        <v>61</v>
      </c>
      <c r="B78" s="150">
        <v>3</v>
      </c>
      <c r="C78" s="170">
        <f>94583.37-70000</f>
        <v>24583.369999999995</v>
      </c>
      <c r="D78" s="170">
        <v>8440</v>
      </c>
      <c r="E78" s="170">
        <v>4735</v>
      </c>
      <c r="F78" s="170">
        <f t="shared" si="35"/>
        <v>526.11111111111109</v>
      </c>
      <c r="G78" s="170"/>
      <c r="H78" s="171">
        <f>D78*$M$7</f>
        <v>253.2</v>
      </c>
      <c r="I78" s="171">
        <v>6360</v>
      </c>
      <c r="J78" s="172">
        <f t="shared" si="24"/>
        <v>530</v>
      </c>
      <c r="L78" s="134">
        <f t="shared" ref="L78:L79" si="36">SUM(E78)+(F78*3)*1.03</f>
        <v>6360.6833333333334</v>
      </c>
    </row>
    <row r="79" spans="1:14" x14ac:dyDescent="0.35">
      <c r="A79" s="150" t="s">
        <v>70</v>
      </c>
      <c r="B79" s="150"/>
      <c r="C79" s="170"/>
      <c r="D79" s="170">
        <v>0</v>
      </c>
      <c r="E79" s="170">
        <v>4707</v>
      </c>
      <c r="F79" s="170">
        <f t="shared" si="35"/>
        <v>523</v>
      </c>
      <c r="G79" s="170"/>
      <c r="H79" s="171"/>
      <c r="I79" s="171">
        <v>0</v>
      </c>
      <c r="J79" s="172">
        <f t="shared" si="24"/>
        <v>0</v>
      </c>
      <c r="L79" s="134">
        <f t="shared" si="36"/>
        <v>6323.07</v>
      </c>
    </row>
    <row r="80" spans="1:14" x14ac:dyDescent="0.35">
      <c r="A80" s="150" t="s">
        <v>62</v>
      </c>
      <c r="B80" s="150">
        <v>3</v>
      </c>
      <c r="C80" s="175">
        <f>381509.99-11987</f>
        <v>369522.99</v>
      </c>
      <c r="D80" s="175">
        <v>126870</v>
      </c>
      <c r="E80" s="175">
        <v>98619</v>
      </c>
      <c r="F80" s="175">
        <f>E80/9</f>
        <v>10957.666666666666</v>
      </c>
      <c r="G80" s="170"/>
      <c r="H80" s="176">
        <v>0</v>
      </c>
      <c r="I80" s="176">
        <v>137850</v>
      </c>
      <c r="J80" s="177">
        <f t="shared" si="24"/>
        <v>11487.5</v>
      </c>
      <c r="K80" s="173" t="s">
        <v>262</v>
      </c>
    </row>
    <row r="81" spans="1:13" x14ac:dyDescent="0.35">
      <c r="A81" s="169" t="s">
        <v>92</v>
      </c>
      <c r="B81" s="150"/>
      <c r="C81" s="170">
        <f>SUM(C72:C80)</f>
        <v>540475.42999999993</v>
      </c>
      <c r="D81" s="170">
        <f>SUM(D72:D80)</f>
        <v>189780</v>
      </c>
      <c r="E81" s="170">
        <f>SUM(E72:E80)</f>
        <v>154927</v>
      </c>
      <c r="F81" s="170">
        <f>SUM(F74:F80)</f>
        <v>17214.111111111109</v>
      </c>
      <c r="G81" s="170"/>
      <c r="H81" s="228">
        <f>D81*$M$7</f>
        <v>5693.4</v>
      </c>
      <c r="I81" s="228">
        <f>SUM(I74:I80)</f>
        <v>210410</v>
      </c>
      <c r="J81" s="231">
        <f t="shared" si="24"/>
        <v>17534.166666666668</v>
      </c>
    </row>
    <row r="82" spans="1:13" x14ac:dyDescent="0.35">
      <c r="A82" s="169"/>
      <c r="B82" s="150"/>
      <c r="C82" s="227"/>
      <c r="D82" s="227"/>
      <c r="E82" s="227"/>
      <c r="F82" s="227"/>
      <c r="G82" s="227"/>
      <c r="H82" s="228"/>
      <c r="I82" s="229"/>
      <c r="J82" s="230"/>
    </row>
    <row r="83" spans="1:13" x14ac:dyDescent="0.35">
      <c r="A83" s="169" t="s">
        <v>459</v>
      </c>
      <c r="B83" s="150"/>
      <c r="C83" s="227"/>
      <c r="D83" s="227"/>
      <c r="E83" s="227"/>
      <c r="F83" s="227"/>
      <c r="G83" s="227"/>
      <c r="H83" s="228"/>
      <c r="I83" s="229"/>
      <c r="J83" s="230"/>
    </row>
    <row r="84" spans="1:13" x14ac:dyDescent="0.35">
      <c r="A84" s="150" t="s">
        <v>233</v>
      </c>
      <c r="B84" s="150">
        <v>3</v>
      </c>
      <c r="C84" s="170">
        <f>127775.21-67105</f>
        <v>60670.210000000006</v>
      </c>
      <c r="D84" s="170">
        <v>20840</v>
      </c>
      <c r="E84" s="170">
        <v>18001</v>
      </c>
      <c r="F84" s="170">
        <f>E84/9</f>
        <v>2000.1111111111111</v>
      </c>
      <c r="G84" s="170"/>
      <c r="H84" s="171">
        <v>0</v>
      </c>
      <c r="I84" s="171">
        <v>11610</v>
      </c>
      <c r="J84" s="172">
        <f>I84/12</f>
        <v>967.5</v>
      </c>
      <c r="K84" s="173" t="s">
        <v>582</v>
      </c>
    </row>
    <row r="85" spans="1:13" x14ac:dyDescent="0.35">
      <c r="A85" s="150" t="s">
        <v>237</v>
      </c>
      <c r="B85" s="150">
        <v>3</v>
      </c>
      <c r="C85" s="175">
        <f>677583.12+27125</f>
        <v>704708.12</v>
      </c>
      <c r="D85" s="175">
        <v>241980</v>
      </c>
      <c r="E85" s="175">
        <v>201016</v>
      </c>
      <c r="F85" s="175">
        <f>E85/9</f>
        <v>22335.111111111109</v>
      </c>
      <c r="G85" s="170"/>
      <c r="H85" s="176">
        <v>0</v>
      </c>
      <c r="I85" s="176">
        <v>251210</v>
      </c>
      <c r="J85" s="177">
        <f>I85/12</f>
        <v>20934.166666666668</v>
      </c>
      <c r="K85" s="173" t="s">
        <v>582</v>
      </c>
      <c r="M85" s="134">
        <v>7.6499999999999999E-2</v>
      </c>
    </row>
    <row r="86" spans="1:13" x14ac:dyDescent="0.35">
      <c r="A86" s="169" t="s">
        <v>314</v>
      </c>
      <c r="B86" s="150"/>
      <c r="C86" s="170">
        <f>SUM(C84:C85)</f>
        <v>765378.33</v>
      </c>
      <c r="D86" s="170">
        <f t="shared" ref="D86:J86" si="37">SUM(D84:D85)</f>
        <v>262820</v>
      </c>
      <c r="E86" s="170">
        <f t="shared" si="37"/>
        <v>219017</v>
      </c>
      <c r="F86" s="170">
        <f>SUM(F84:F85)</f>
        <v>24335.222222222219</v>
      </c>
      <c r="G86" s="170"/>
      <c r="H86" s="171">
        <f t="shared" si="37"/>
        <v>0</v>
      </c>
      <c r="I86" s="171">
        <f t="shared" si="37"/>
        <v>262820</v>
      </c>
      <c r="J86" s="172">
        <f t="shared" si="37"/>
        <v>21901.666666666668</v>
      </c>
    </row>
    <row r="87" spans="1:13" x14ac:dyDescent="0.35">
      <c r="A87" s="150"/>
      <c r="B87" s="150"/>
      <c r="C87" s="150"/>
      <c r="D87" s="150"/>
      <c r="E87" s="150"/>
      <c r="F87" s="150"/>
      <c r="G87" s="150"/>
      <c r="H87" s="233"/>
      <c r="I87" s="233"/>
      <c r="J87" s="139"/>
    </row>
    <row r="88" spans="1:13" x14ac:dyDescent="0.35">
      <c r="A88" s="169" t="s">
        <v>84</v>
      </c>
      <c r="B88" s="150"/>
      <c r="C88" s="150"/>
      <c r="D88" s="150"/>
      <c r="E88" s="150"/>
      <c r="F88" s="150"/>
      <c r="G88" s="150"/>
      <c r="H88" s="233"/>
      <c r="I88" s="233"/>
      <c r="J88" s="139"/>
    </row>
    <row r="89" spans="1:13" x14ac:dyDescent="0.35">
      <c r="A89" s="150" t="s">
        <v>63</v>
      </c>
      <c r="B89" s="150">
        <v>3</v>
      </c>
      <c r="C89" s="175">
        <v>105000</v>
      </c>
      <c r="D89" s="175">
        <v>36000</v>
      </c>
      <c r="E89" s="175">
        <v>27000</v>
      </c>
      <c r="F89" s="175">
        <f>E89/9</f>
        <v>3000</v>
      </c>
      <c r="G89" s="170"/>
      <c r="H89" s="176">
        <v>0</v>
      </c>
      <c r="I89" s="176">
        <f t="shared" ref="I89:I99" si="38">D89+H89</f>
        <v>36000</v>
      </c>
      <c r="J89" s="177">
        <f t="shared" si="24"/>
        <v>3000</v>
      </c>
    </row>
    <row r="90" spans="1:13" x14ac:dyDescent="0.35">
      <c r="A90" s="169" t="s">
        <v>93</v>
      </c>
      <c r="B90" s="150"/>
      <c r="C90" s="170">
        <f>SUM(C89)</f>
        <v>105000</v>
      </c>
      <c r="D90" s="170">
        <f t="shared" ref="D90:J90" si="39">SUM(D89)</f>
        <v>36000</v>
      </c>
      <c r="E90" s="170">
        <f t="shared" si="39"/>
        <v>27000</v>
      </c>
      <c r="F90" s="170">
        <f>SUM(F89)</f>
        <v>3000</v>
      </c>
      <c r="G90" s="170"/>
      <c r="H90" s="229">
        <f t="shared" si="39"/>
        <v>0</v>
      </c>
      <c r="I90" s="229">
        <f t="shared" si="39"/>
        <v>36000</v>
      </c>
      <c r="J90" s="234">
        <f t="shared" si="39"/>
        <v>3000</v>
      </c>
    </row>
    <row r="91" spans="1:13" x14ac:dyDescent="0.35">
      <c r="A91" s="169"/>
      <c r="B91" s="150"/>
      <c r="C91" s="170"/>
      <c r="D91" s="170"/>
      <c r="E91" s="170"/>
      <c r="F91" s="170"/>
      <c r="G91" s="170"/>
      <c r="H91" s="229"/>
      <c r="I91" s="229"/>
      <c r="J91" s="234"/>
    </row>
    <row r="92" spans="1:13" hidden="1" x14ac:dyDescent="0.35">
      <c r="A92" s="150" t="s">
        <v>198</v>
      </c>
      <c r="B92" s="150">
        <v>3</v>
      </c>
      <c r="C92" s="170">
        <v>0</v>
      </c>
      <c r="D92" s="170">
        <f t="shared" ref="D92" si="40">C92/3</f>
        <v>0</v>
      </c>
      <c r="E92" s="170">
        <f t="shared" ref="E92" si="41">D92/12</f>
        <v>0</v>
      </c>
      <c r="F92" s="170"/>
      <c r="G92" s="170"/>
      <c r="H92" s="171">
        <f>D92*$M$7</f>
        <v>0</v>
      </c>
      <c r="I92" s="171">
        <f t="shared" si="38"/>
        <v>0</v>
      </c>
      <c r="J92" s="172">
        <f t="shared" si="24"/>
        <v>0</v>
      </c>
      <c r="K92" s="173"/>
    </row>
    <row r="93" spans="1:13" x14ac:dyDescent="0.35">
      <c r="A93" s="169" t="s">
        <v>458</v>
      </c>
      <c r="B93" s="150"/>
      <c r="C93" s="170"/>
      <c r="D93" s="170"/>
      <c r="E93" s="170"/>
      <c r="F93" s="170"/>
      <c r="G93" s="170"/>
      <c r="H93" s="171"/>
      <c r="I93" s="171"/>
      <c r="J93" s="172"/>
      <c r="K93" s="173"/>
    </row>
    <row r="94" spans="1:13" x14ac:dyDescent="0.35">
      <c r="A94" s="150" t="s">
        <v>25</v>
      </c>
      <c r="B94" s="150">
        <v>3</v>
      </c>
      <c r="C94" s="170">
        <f>70139-3</f>
        <v>70136</v>
      </c>
      <c r="D94" s="170">
        <v>90000</v>
      </c>
      <c r="E94" s="170">
        <v>91698</v>
      </c>
      <c r="F94" s="170">
        <f>E94/9</f>
        <v>10188.666666666666</v>
      </c>
      <c r="G94" s="170"/>
      <c r="H94" s="171">
        <v>0</v>
      </c>
      <c r="I94" s="171">
        <v>90000</v>
      </c>
      <c r="J94" s="172">
        <f t="shared" si="24"/>
        <v>7500</v>
      </c>
      <c r="K94" s="173" t="s">
        <v>654</v>
      </c>
    </row>
    <row r="95" spans="1:13" x14ac:dyDescent="0.35">
      <c r="A95" s="150" t="s">
        <v>235</v>
      </c>
      <c r="B95" s="150">
        <v>3</v>
      </c>
      <c r="C95" s="170">
        <v>0</v>
      </c>
      <c r="D95" s="170">
        <v>16000</v>
      </c>
      <c r="E95" s="170">
        <v>0</v>
      </c>
      <c r="F95" s="170">
        <f t="shared" ref="F95:F98" si="42">E95/9</f>
        <v>0</v>
      </c>
      <c r="G95" s="170"/>
      <c r="H95" s="171">
        <f>D95*$M$7</f>
        <v>480</v>
      </c>
      <c r="I95" s="171">
        <v>15000</v>
      </c>
      <c r="J95" s="172">
        <f t="shared" si="24"/>
        <v>1250</v>
      </c>
      <c r="K95" s="173" t="s">
        <v>602</v>
      </c>
    </row>
    <row r="96" spans="1:13" x14ac:dyDescent="0.35">
      <c r="A96" s="150" t="s">
        <v>236</v>
      </c>
      <c r="B96" s="150">
        <v>3</v>
      </c>
      <c r="C96" s="170">
        <v>5038</v>
      </c>
      <c r="D96" s="170">
        <v>0</v>
      </c>
      <c r="E96" s="170">
        <v>8139</v>
      </c>
      <c r="F96" s="170">
        <f t="shared" si="42"/>
        <v>904.33333333333337</v>
      </c>
      <c r="G96" s="170"/>
      <c r="H96" s="171">
        <v>0</v>
      </c>
      <c r="I96" s="171">
        <v>0</v>
      </c>
      <c r="J96" s="172">
        <f t="shared" si="24"/>
        <v>0</v>
      </c>
      <c r="K96" s="173" t="s">
        <v>623</v>
      </c>
    </row>
    <row r="97" spans="1:11" hidden="1" x14ac:dyDescent="0.35">
      <c r="A97" s="150" t="s">
        <v>64</v>
      </c>
      <c r="B97" s="150">
        <v>3</v>
      </c>
      <c r="C97" s="170">
        <v>0</v>
      </c>
      <c r="D97" s="170">
        <v>0</v>
      </c>
      <c r="E97" s="170">
        <v>0</v>
      </c>
      <c r="F97" s="170">
        <f t="shared" si="42"/>
        <v>0</v>
      </c>
      <c r="G97" s="170"/>
      <c r="H97" s="171">
        <v>0</v>
      </c>
      <c r="I97" s="171">
        <v>0</v>
      </c>
      <c r="J97" s="172">
        <f t="shared" si="24"/>
        <v>0</v>
      </c>
      <c r="K97" s="173" t="s">
        <v>623</v>
      </c>
    </row>
    <row r="98" spans="1:11" x14ac:dyDescent="0.35">
      <c r="A98" s="150" t="s">
        <v>26</v>
      </c>
      <c r="B98" s="150">
        <v>3</v>
      </c>
      <c r="C98" s="170">
        <f>28132+4</f>
        <v>28136</v>
      </c>
      <c r="D98" s="175">
        <v>12000</v>
      </c>
      <c r="E98" s="175">
        <v>26133</v>
      </c>
      <c r="F98" s="175">
        <f t="shared" si="42"/>
        <v>2903.6666666666665</v>
      </c>
      <c r="G98" s="170"/>
      <c r="H98" s="176">
        <v>0</v>
      </c>
      <c r="I98" s="176">
        <v>0</v>
      </c>
      <c r="J98" s="177">
        <f t="shared" si="24"/>
        <v>0</v>
      </c>
      <c r="K98" s="173" t="s">
        <v>623</v>
      </c>
    </row>
    <row r="99" spans="1:11" hidden="1" x14ac:dyDescent="0.35">
      <c r="A99" s="150" t="s">
        <v>65</v>
      </c>
      <c r="B99" s="150">
        <v>3</v>
      </c>
      <c r="C99" s="170">
        <f>25401.03-2</f>
        <v>25399.03</v>
      </c>
      <c r="D99" s="175">
        <v>0</v>
      </c>
      <c r="E99" s="175">
        <v>0</v>
      </c>
      <c r="F99" s="175">
        <f>E99/9</f>
        <v>0</v>
      </c>
      <c r="G99" s="175"/>
      <c r="H99" s="176">
        <f>D99*$M$7</f>
        <v>0</v>
      </c>
      <c r="I99" s="176">
        <f t="shared" si="38"/>
        <v>0</v>
      </c>
      <c r="J99" s="177">
        <f t="shared" si="24"/>
        <v>0</v>
      </c>
      <c r="K99" s="173"/>
    </row>
    <row r="100" spans="1:11" ht="21.75" thickBot="1" x14ac:dyDescent="0.4">
      <c r="A100" s="169" t="s">
        <v>94</v>
      </c>
      <c r="B100" s="150">
        <v>3</v>
      </c>
      <c r="C100" s="170">
        <f t="shared" ref="C100:J100" si="43">SUM(C92:C99)</f>
        <v>128709.03</v>
      </c>
      <c r="D100" s="170">
        <f t="shared" si="43"/>
        <v>118000</v>
      </c>
      <c r="E100" s="170">
        <f t="shared" si="43"/>
        <v>125970</v>
      </c>
      <c r="F100" s="170">
        <f>SUM(F94:F99)</f>
        <v>13996.666666666666</v>
      </c>
      <c r="G100" s="170"/>
      <c r="H100" s="191">
        <f t="shared" si="43"/>
        <v>480</v>
      </c>
      <c r="I100" s="191">
        <f t="shared" si="43"/>
        <v>105000</v>
      </c>
      <c r="J100" s="192">
        <f t="shared" si="43"/>
        <v>8750</v>
      </c>
      <c r="K100" s="173"/>
    </row>
  </sheetData>
  <pageMargins left="0.64" right="0.25" top="0.53" bottom="0.35" header="0.17" footer="0.17"/>
  <pageSetup scale="42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6"/>
  <sheetViews>
    <sheetView zoomScale="80" zoomScaleNormal="80" workbookViewId="0">
      <pane xSplit="2" ySplit="4" topLeftCell="D42" activePane="bottomRight" state="frozen"/>
      <selection activeCell="I38" sqref="I38"/>
      <selection pane="topRight" activeCell="I38" sqref="I38"/>
      <selection pane="bottomLeft" activeCell="I38" sqref="I38"/>
      <selection pane="bottomRight" activeCell="F83" sqref="F83"/>
    </sheetView>
  </sheetViews>
  <sheetFormatPr defaultRowHeight="21" x14ac:dyDescent="0.35"/>
  <cols>
    <col min="1" max="1" width="62.42578125" style="134" bestFit="1" customWidth="1"/>
    <col min="2" max="2" width="9.140625" style="134" hidden="1" customWidth="1"/>
    <col min="3" max="3" width="0.85546875" style="134" hidden="1" customWidth="1"/>
    <col min="4" max="4" width="18.85546875" style="134" bestFit="1" customWidth="1"/>
    <col min="5" max="5" width="16.28515625" style="134" bestFit="1" customWidth="1"/>
    <col min="6" max="6" width="14.28515625" style="134" bestFit="1" customWidth="1"/>
    <col min="7" max="7" width="2.7109375" style="134" customWidth="1"/>
    <col min="8" max="8" width="0" style="134" hidden="1" customWidth="1"/>
    <col min="9" max="9" width="34.28515625" style="134" customWidth="1"/>
    <col min="10" max="10" width="13.140625" style="134" bestFit="1" customWidth="1"/>
    <col min="11" max="11" width="64.5703125" style="134" customWidth="1"/>
    <col min="12" max="12" width="17.42578125" style="134" customWidth="1"/>
    <col min="13" max="13" width="9.42578125" style="134" bestFit="1" customWidth="1"/>
    <col min="14" max="14" width="9.5703125" style="134" bestFit="1" customWidth="1"/>
    <col min="15" max="16384" width="9.140625" style="134"/>
  </cols>
  <sheetData>
    <row r="1" spans="1:13" x14ac:dyDescent="0.35">
      <c r="I1" s="386" t="str">
        <f>'Kendall Apts'!I1:J1</f>
        <v>Projected Annual Budget 2016</v>
      </c>
      <c r="J1" s="387"/>
      <c r="K1" s="137"/>
    </row>
    <row r="2" spans="1:13" x14ac:dyDescent="0.35">
      <c r="I2" s="138" t="s">
        <v>395</v>
      </c>
      <c r="J2" s="139"/>
      <c r="K2" s="173" t="s">
        <v>603</v>
      </c>
    </row>
    <row r="3" spans="1:13" ht="21.75" thickBot="1" x14ac:dyDescent="0.4">
      <c r="A3" s="36" t="s">
        <v>477</v>
      </c>
      <c r="D3" s="36"/>
      <c r="I3" s="142"/>
      <c r="J3" s="139"/>
      <c r="K3" s="140"/>
    </row>
    <row r="4" spans="1:13" ht="63.75" thickBot="1" x14ac:dyDescent="0.4">
      <c r="A4" s="143" t="s">
        <v>77</v>
      </c>
      <c r="B4" s="143" t="s">
        <v>78</v>
      </c>
      <c r="C4" s="143" t="s">
        <v>79</v>
      </c>
      <c r="D4" s="144" t="str">
        <f>'Kendall Apts'!D4</f>
        <v>2015 Annual Budget</v>
      </c>
      <c r="E4" s="144" t="str">
        <f>'Kendall Apts'!E4</f>
        <v>YTD Actual FY 2015 @ 9/30/15</v>
      </c>
      <c r="F4" s="144" t="str">
        <f>'Kendall Apts'!G4</f>
        <v>FY 2015 - 9 month Avg</v>
      </c>
      <c r="G4" s="141"/>
      <c r="H4" s="145"/>
      <c r="I4" s="235" t="s">
        <v>430</v>
      </c>
      <c r="J4" s="215" t="s">
        <v>431</v>
      </c>
      <c r="K4" s="236"/>
      <c r="M4" s="36" t="s">
        <v>396</v>
      </c>
    </row>
    <row r="5" spans="1:13" x14ac:dyDescent="0.35">
      <c r="A5" s="150" t="s">
        <v>33</v>
      </c>
      <c r="B5" s="150">
        <v>3</v>
      </c>
      <c r="C5" s="170">
        <f>-275890.5-4309</f>
        <v>-280199.5</v>
      </c>
      <c r="D5" s="141">
        <v>-97560</v>
      </c>
      <c r="E5" s="141">
        <v>-74310</v>
      </c>
      <c r="F5" s="141">
        <f>E5/9</f>
        <v>-8256.6666666666661</v>
      </c>
      <c r="G5" s="170"/>
      <c r="H5" s="237">
        <v>0</v>
      </c>
      <c r="I5" s="237">
        <v>-99820</v>
      </c>
      <c r="J5" s="238">
        <f t="shared" ref="J5:J11" si="0">I5/12</f>
        <v>-8318.3333333333339</v>
      </c>
      <c r="K5" s="161"/>
      <c r="L5" s="239">
        <f>SUM(E5)+(F5*3)*1.03</f>
        <v>-99823.1</v>
      </c>
      <c r="M5" s="161">
        <v>0.03</v>
      </c>
    </row>
    <row r="6" spans="1:13" x14ac:dyDescent="0.35">
      <c r="A6" s="150" t="s">
        <v>34</v>
      </c>
      <c r="B6" s="150">
        <v>3</v>
      </c>
      <c r="C6" s="170">
        <f>6854+1156</f>
        <v>8010</v>
      </c>
      <c r="D6" s="141">
        <v>1950</v>
      </c>
      <c r="E6" s="141">
        <v>228</v>
      </c>
      <c r="F6" s="141">
        <f t="shared" ref="F6:F9" si="1">E6/9</f>
        <v>25.333333333333332</v>
      </c>
      <c r="G6" s="170"/>
      <c r="H6" s="223">
        <v>0</v>
      </c>
      <c r="I6" s="223">
        <v>2000</v>
      </c>
      <c r="J6" s="224">
        <f t="shared" si="0"/>
        <v>166.66666666666666</v>
      </c>
      <c r="K6" s="173" t="s">
        <v>555</v>
      </c>
      <c r="L6" s="239">
        <f>SUM(I5)*0.02</f>
        <v>-1996.4</v>
      </c>
      <c r="M6" s="36" t="s">
        <v>80</v>
      </c>
    </row>
    <row r="7" spans="1:13" x14ac:dyDescent="0.35">
      <c r="A7" s="150" t="s">
        <v>440</v>
      </c>
      <c r="B7" s="150"/>
      <c r="C7" s="170"/>
      <c r="D7" s="141">
        <v>0</v>
      </c>
      <c r="E7" s="141">
        <v>0</v>
      </c>
      <c r="F7" s="141">
        <f t="shared" si="1"/>
        <v>0</v>
      </c>
      <c r="G7" s="141"/>
      <c r="H7" s="223">
        <v>0</v>
      </c>
      <c r="I7" s="223">
        <v>-27000</v>
      </c>
      <c r="J7" s="224">
        <v>0</v>
      </c>
      <c r="K7" s="134" t="s">
        <v>656</v>
      </c>
      <c r="L7" s="239">
        <f t="shared" ref="L7:L11" si="2">SUM(E7)+(F7*3)*1.03</f>
        <v>0</v>
      </c>
      <c r="M7" s="36"/>
    </row>
    <row r="8" spans="1:13" x14ac:dyDescent="0.35">
      <c r="A8" s="150" t="s">
        <v>35</v>
      </c>
      <c r="B8" s="150">
        <v>3</v>
      </c>
      <c r="C8" s="170">
        <f>-21-9</f>
        <v>-30</v>
      </c>
      <c r="D8" s="141">
        <v>-10.3</v>
      </c>
      <c r="E8" s="141">
        <v>-7</v>
      </c>
      <c r="F8" s="141">
        <f t="shared" si="1"/>
        <v>-0.77777777777777779</v>
      </c>
      <c r="G8" s="141"/>
      <c r="H8" s="223">
        <f>D8*$M$5</f>
        <v>-0.309</v>
      </c>
      <c r="I8" s="223">
        <v>-10</v>
      </c>
      <c r="J8" s="224">
        <f t="shared" si="0"/>
        <v>-0.83333333333333337</v>
      </c>
      <c r="L8" s="239">
        <f t="shared" si="2"/>
        <v>-9.4033333333333342</v>
      </c>
      <c r="M8" s="161">
        <v>0.05</v>
      </c>
    </row>
    <row r="9" spans="1:13" x14ac:dyDescent="0.35">
      <c r="A9" s="150" t="s">
        <v>36</v>
      </c>
      <c r="B9" s="150">
        <v>3</v>
      </c>
      <c r="C9" s="170">
        <f>-3191.86+599</f>
        <v>-2592.86</v>
      </c>
      <c r="D9" s="141">
        <v>-1180</v>
      </c>
      <c r="E9" s="141">
        <v>-922</v>
      </c>
      <c r="F9" s="141">
        <f t="shared" si="1"/>
        <v>-102.44444444444444</v>
      </c>
      <c r="G9" s="170"/>
      <c r="H9" s="223">
        <f>D9*$M$5</f>
        <v>-35.4</v>
      </c>
      <c r="I9" s="223">
        <v>-1240</v>
      </c>
      <c r="J9" s="224">
        <f t="shared" si="0"/>
        <v>-103.33333333333333</v>
      </c>
      <c r="L9" s="239">
        <f t="shared" si="2"/>
        <v>-1238.5533333333333</v>
      </c>
    </row>
    <row r="10" spans="1:13" x14ac:dyDescent="0.35">
      <c r="A10" s="150" t="s">
        <v>37</v>
      </c>
      <c r="B10" s="150">
        <v>3</v>
      </c>
      <c r="C10" s="170">
        <f>-1029.66-1503</f>
        <v>-2532.66</v>
      </c>
      <c r="D10" s="141">
        <v>0</v>
      </c>
      <c r="E10" s="141">
        <v>-275</v>
      </c>
      <c r="F10" s="141">
        <f t="shared" ref="F10" si="3">E10/9*12</f>
        <v>-366.66666666666669</v>
      </c>
      <c r="G10" s="170"/>
      <c r="H10" s="223">
        <f>D10*$M$5</f>
        <v>0</v>
      </c>
      <c r="I10" s="223">
        <v>-350</v>
      </c>
      <c r="J10" s="224">
        <f t="shared" si="0"/>
        <v>-29.166666666666668</v>
      </c>
      <c r="L10" s="239">
        <f t="shared" si="2"/>
        <v>-1408</v>
      </c>
    </row>
    <row r="11" spans="1:13" x14ac:dyDescent="0.35">
      <c r="A11" s="150" t="s">
        <v>290</v>
      </c>
      <c r="B11" s="150">
        <v>3</v>
      </c>
      <c r="C11" s="175">
        <f>-583.15-873</f>
        <v>-1456.15</v>
      </c>
      <c r="D11" s="164">
        <v>-329.6</v>
      </c>
      <c r="E11" s="164">
        <v>-1760</v>
      </c>
      <c r="F11" s="164">
        <f>E11/9</f>
        <v>-195.55555555555554</v>
      </c>
      <c r="G11" s="141"/>
      <c r="H11" s="240">
        <f>D11*$M$5</f>
        <v>-9.8879999999999999</v>
      </c>
      <c r="I11" s="240">
        <v>-340</v>
      </c>
      <c r="J11" s="241">
        <f t="shared" si="0"/>
        <v>-28.333333333333332</v>
      </c>
      <c r="K11" s="134" t="s">
        <v>631</v>
      </c>
      <c r="L11" s="239">
        <f t="shared" si="2"/>
        <v>-2364.2666666666664</v>
      </c>
    </row>
    <row r="12" spans="1:13" x14ac:dyDescent="0.35">
      <c r="A12" s="150" t="s">
        <v>81</v>
      </c>
      <c r="B12" s="150"/>
      <c r="C12" s="170">
        <f t="shared" ref="C12:J12" si="4">SUM(C5:C11)</f>
        <v>-278801.17</v>
      </c>
      <c r="D12" s="141">
        <f t="shared" si="4"/>
        <v>-97129.900000000009</v>
      </c>
      <c r="E12" s="141">
        <f t="shared" si="4"/>
        <v>-77046</v>
      </c>
      <c r="F12" s="141">
        <f>SUM(F5:F11)</f>
        <v>-8896.7777777777756</v>
      </c>
      <c r="G12" s="170"/>
      <c r="H12" s="223">
        <f t="shared" si="4"/>
        <v>-45.596999999999994</v>
      </c>
      <c r="I12" s="223">
        <f t="shared" si="4"/>
        <v>-126760</v>
      </c>
      <c r="J12" s="224">
        <f t="shared" si="4"/>
        <v>-8313.3333333333339</v>
      </c>
      <c r="K12" s="173"/>
    </row>
    <row r="13" spans="1:13" x14ac:dyDescent="0.35">
      <c r="A13" s="150"/>
      <c r="B13" s="150"/>
      <c r="C13" s="170"/>
      <c r="D13" s="141"/>
      <c r="E13" s="141"/>
      <c r="F13" s="141"/>
      <c r="G13" s="141"/>
      <c r="H13" s="223"/>
      <c r="I13" s="223"/>
      <c r="J13" s="224"/>
      <c r="K13" s="173"/>
    </row>
    <row r="14" spans="1:13" x14ac:dyDescent="0.35">
      <c r="A14" s="150" t="s">
        <v>82</v>
      </c>
      <c r="B14" s="150"/>
      <c r="C14" s="170">
        <f>C35</f>
        <v>20617.66</v>
      </c>
      <c r="D14" s="141">
        <f t="shared" ref="D14:E14" si="5">D35</f>
        <v>7619.9</v>
      </c>
      <c r="E14" s="141">
        <f t="shared" si="5"/>
        <v>5401</v>
      </c>
      <c r="F14" s="141">
        <f>E14/9</f>
        <v>600.11111111111109</v>
      </c>
      <c r="G14" s="141"/>
      <c r="H14" s="242">
        <f>H35</f>
        <v>82.796999999999997</v>
      </c>
      <c r="I14" s="242">
        <f t="shared" ref="I14:J14" si="6">I35</f>
        <v>7570</v>
      </c>
      <c r="J14" s="243">
        <f t="shared" si="6"/>
        <v>630.83333333333337</v>
      </c>
      <c r="K14" s="178"/>
      <c r="L14" s="208"/>
    </row>
    <row r="15" spans="1:13" x14ac:dyDescent="0.35">
      <c r="A15" s="150" t="s">
        <v>90</v>
      </c>
      <c r="B15" s="150"/>
      <c r="C15" s="170">
        <f>C42</f>
        <v>15940.16</v>
      </c>
      <c r="D15" s="170">
        <f t="shared" ref="D15:E15" si="7">D42</f>
        <v>4680</v>
      </c>
      <c r="E15" s="170">
        <f t="shared" si="7"/>
        <v>4086</v>
      </c>
      <c r="F15" s="141">
        <f t="shared" ref="F15:F19" si="8">E15/9</f>
        <v>454</v>
      </c>
      <c r="G15" s="170"/>
      <c r="H15" s="226">
        <f>H42</f>
        <v>262.60000000000002</v>
      </c>
      <c r="I15" s="226">
        <f t="shared" ref="I15:J15" si="9">I42</f>
        <v>5670</v>
      </c>
      <c r="J15" s="244">
        <f t="shared" si="9"/>
        <v>472.5</v>
      </c>
      <c r="K15" s="178"/>
    </row>
    <row r="16" spans="1:13" x14ac:dyDescent="0.35">
      <c r="A16" s="150" t="s">
        <v>95</v>
      </c>
      <c r="B16" s="150"/>
      <c r="C16" s="170">
        <f>C55</f>
        <v>62418.750000000007</v>
      </c>
      <c r="D16" s="170">
        <f t="shared" ref="D16:E16" si="10">D55</f>
        <v>16490</v>
      </c>
      <c r="E16" s="170">
        <f t="shared" si="10"/>
        <v>14599</v>
      </c>
      <c r="F16" s="141">
        <f t="shared" si="8"/>
        <v>1622.1111111111111</v>
      </c>
      <c r="G16" s="170"/>
      <c r="H16" s="226">
        <f>H55</f>
        <v>494.7</v>
      </c>
      <c r="I16" s="226">
        <f>I55</f>
        <v>23786</v>
      </c>
      <c r="J16" s="244">
        <f t="shared" ref="J16" si="11">J55</f>
        <v>1982.1666666666667</v>
      </c>
      <c r="K16" s="178"/>
    </row>
    <row r="17" spans="1:12" x14ac:dyDescent="0.35">
      <c r="A17" s="150" t="s">
        <v>83</v>
      </c>
      <c r="B17" s="150"/>
      <c r="C17" s="170">
        <f>C54</f>
        <v>5272.51</v>
      </c>
      <c r="D17" s="170">
        <f>D65</f>
        <v>37490</v>
      </c>
      <c r="E17" s="170">
        <f>E65</f>
        <v>34497</v>
      </c>
      <c r="F17" s="141">
        <f t="shared" si="8"/>
        <v>3833</v>
      </c>
      <c r="G17" s="170"/>
      <c r="H17" s="226">
        <f>H65</f>
        <v>1124.7</v>
      </c>
      <c r="I17" s="226">
        <f>I65</f>
        <v>43470</v>
      </c>
      <c r="J17" s="244">
        <f t="shared" ref="J17" si="12">J65</f>
        <v>3622.5</v>
      </c>
      <c r="K17" s="178"/>
    </row>
    <row r="18" spans="1:12" x14ac:dyDescent="0.35">
      <c r="A18" s="150" t="s">
        <v>302</v>
      </c>
      <c r="B18" s="150"/>
      <c r="C18" s="170">
        <f>C89</f>
        <v>0</v>
      </c>
      <c r="D18" s="170">
        <f>D70</f>
        <v>58240</v>
      </c>
      <c r="E18" s="170">
        <f>E70</f>
        <v>48538</v>
      </c>
      <c r="F18" s="141">
        <f t="shared" si="8"/>
        <v>5393.1111111111113</v>
      </c>
      <c r="G18" s="170"/>
      <c r="H18" s="171">
        <f>H89</f>
        <v>0</v>
      </c>
      <c r="I18" s="171">
        <f>I70</f>
        <v>58240</v>
      </c>
      <c r="J18" s="172">
        <f>J70</f>
        <v>4853.333333333333</v>
      </c>
      <c r="K18" s="173"/>
    </row>
    <row r="19" spans="1:12" x14ac:dyDescent="0.35">
      <c r="A19" s="150" t="s">
        <v>84</v>
      </c>
      <c r="B19" s="150"/>
      <c r="C19" s="170">
        <f>C59</f>
        <v>44427.26</v>
      </c>
      <c r="D19" s="170">
        <f>D74</f>
        <v>3600</v>
      </c>
      <c r="E19" s="170">
        <f>E74</f>
        <v>2812</v>
      </c>
      <c r="F19" s="141">
        <f t="shared" si="8"/>
        <v>312.44444444444446</v>
      </c>
      <c r="G19" s="170"/>
      <c r="H19" s="226">
        <f>H73</f>
        <v>0</v>
      </c>
      <c r="I19" s="226">
        <f t="shared" ref="I19:J19" si="13">I73</f>
        <v>3600</v>
      </c>
      <c r="J19" s="244">
        <f t="shared" si="13"/>
        <v>300</v>
      </c>
      <c r="K19" s="178"/>
    </row>
    <row r="20" spans="1:12" x14ac:dyDescent="0.35">
      <c r="A20" s="150" t="s">
        <v>85</v>
      </c>
      <c r="B20" s="211"/>
      <c r="C20" s="175">
        <f>C80</f>
        <v>27116</v>
      </c>
      <c r="D20" s="175">
        <f>D85</f>
        <v>1070</v>
      </c>
      <c r="E20" s="175">
        <f>E85</f>
        <v>4254</v>
      </c>
      <c r="F20" s="175">
        <f>E20/9</f>
        <v>472.66666666666669</v>
      </c>
      <c r="G20" s="141"/>
      <c r="H20" s="245">
        <f>H85</f>
        <v>32.1</v>
      </c>
      <c r="I20" s="245">
        <f>I85</f>
        <v>12000</v>
      </c>
      <c r="J20" s="246">
        <f t="shared" ref="J20" si="14">J85</f>
        <v>1000</v>
      </c>
      <c r="K20" s="178"/>
    </row>
    <row r="21" spans="1:12" x14ac:dyDescent="0.35">
      <c r="A21" s="150" t="s">
        <v>86</v>
      </c>
      <c r="B21" s="150"/>
      <c r="C21" s="170">
        <f t="shared" ref="C21:J21" si="15">SUM(C14:C20)</f>
        <v>175792.34</v>
      </c>
      <c r="D21" s="170">
        <f t="shared" si="15"/>
        <v>129189.9</v>
      </c>
      <c r="E21" s="170">
        <f t="shared" si="15"/>
        <v>114187</v>
      </c>
      <c r="F21" s="170">
        <f>SUM(F14:F20)</f>
        <v>12687.444444444445</v>
      </c>
      <c r="G21" s="170"/>
      <c r="H21" s="225">
        <f t="shared" si="15"/>
        <v>1996.8969999999999</v>
      </c>
      <c r="I21" s="226">
        <f t="shared" si="15"/>
        <v>154336</v>
      </c>
      <c r="J21" s="172">
        <f t="shared" si="15"/>
        <v>12861.333333333332</v>
      </c>
      <c r="K21" s="178"/>
    </row>
    <row r="22" spans="1:12" x14ac:dyDescent="0.35">
      <c r="A22" s="150"/>
      <c r="B22" s="150"/>
      <c r="C22" s="170"/>
      <c r="D22" s="170"/>
      <c r="E22" s="170"/>
      <c r="F22" s="170"/>
      <c r="G22" s="141"/>
      <c r="H22" s="225"/>
      <c r="I22" s="226"/>
      <c r="J22" s="172"/>
      <c r="K22" s="178"/>
    </row>
    <row r="23" spans="1:12" ht="21.75" thickBot="1" x14ac:dyDescent="0.4">
      <c r="A23" s="247" t="s">
        <v>87</v>
      </c>
      <c r="B23" s="248"/>
      <c r="C23" s="249">
        <f t="shared" ref="C23" si="16">SUM(-C12-C21)</f>
        <v>103008.82999999999</v>
      </c>
      <c r="D23" s="185">
        <f t="shared" ref="D23:F23" si="17">SUM(D12+D21)</f>
        <v>32059.999999999985</v>
      </c>
      <c r="E23" s="185">
        <f t="shared" si="17"/>
        <v>37141</v>
      </c>
      <c r="F23" s="185">
        <f t="shared" si="17"/>
        <v>3790.6666666666697</v>
      </c>
      <c r="G23" s="170"/>
      <c r="H23" s="186">
        <f>SUM(-H12-H21)</f>
        <v>-1951.3</v>
      </c>
      <c r="I23" s="186">
        <f t="shared" ref="I23:J23" si="18">SUM(I12+I21)</f>
        <v>27576</v>
      </c>
      <c r="J23" s="187">
        <f t="shared" si="18"/>
        <v>4547.9999999999982</v>
      </c>
      <c r="K23" s="161"/>
    </row>
    <row r="24" spans="1:12" x14ac:dyDescent="0.35">
      <c r="A24" s="169" t="s">
        <v>454</v>
      </c>
      <c r="B24" s="150"/>
      <c r="C24" s="227"/>
      <c r="D24" s="227"/>
      <c r="E24" s="227"/>
      <c r="F24" s="227"/>
      <c r="G24" s="227"/>
      <c r="H24" s="228"/>
      <c r="I24" s="229"/>
      <c r="J24" s="230"/>
      <c r="K24" s="161"/>
    </row>
    <row r="25" spans="1:12" x14ac:dyDescent="0.35">
      <c r="A25" s="150" t="s">
        <v>40</v>
      </c>
      <c r="B25" s="150">
        <v>3</v>
      </c>
      <c r="C25" s="170">
        <f>94.28-7</f>
        <v>87.28</v>
      </c>
      <c r="D25" s="170">
        <v>30</v>
      </c>
      <c r="E25" s="170">
        <v>1</v>
      </c>
      <c r="F25" s="170">
        <f>E25/9</f>
        <v>0.1111111111111111</v>
      </c>
      <c r="G25" s="170"/>
      <c r="H25" s="229">
        <f>D25*$M$5</f>
        <v>0.89999999999999991</v>
      </c>
      <c r="I25" s="229">
        <v>30</v>
      </c>
      <c r="J25" s="234">
        <f t="shared" ref="J25:J34" si="19">I25/12</f>
        <v>2.5</v>
      </c>
      <c r="L25" s="239">
        <f t="shared" ref="L25:L34" si="20">SUM(E25)+(F25*3)*1.03</f>
        <v>1.3433333333333333</v>
      </c>
    </row>
    <row r="26" spans="1:12" x14ac:dyDescent="0.35">
      <c r="A26" s="150" t="s">
        <v>41</v>
      </c>
      <c r="B26" s="150">
        <v>3</v>
      </c>
      <c r="C26" s="170">
        <f>445.28-7</f>
        <v>438.28</v>
      </c>
      <c r="D26" s="170">
        <v>160</v>
      </c>
      <c r="E26" s="170">
        <v>114</v>
      </c>
      <c r="F26" s="170">
        <f t="shared" ref="F26:F33" si="21">E26/9</f>
        <v>12.666666666666666</v>
      </c>
      <c r="G26" s="170"/>
      <c r="H26" s="229">
        <f>D26*$M$5</f>
        <v>4.8</v>
      </c>
      <c r="I26" s="229">
        <v>160</v>
      </c>
      <c r="J26" s="234">
        <f t="shared" si="19"/>
        <v>13.333333333333334</v>
      </c>
      <c r="L26" s="239">
        <f t="shared" si="20"/>
        <v>153.13999999999999</v>
      </c>
    </row>
    <row r="27" spans="1:12" x14ac:dyDescent="0.35">
      <c r="A27" s="150" t="s">
        <v>432</v>
      </c>
      <c r="B27" s="150">
        <v>3</v>
      </c>
      <c r="C27" s="170">
        <f>35.6+81</f>
        <v>116.6</v>
      </c>
      <c r="D27" s="170">
        <v>40</v>
      </c>
      <c r="E27" s="170">
        <v>0</v>
      </c>
      <c r="F27" s="170">
        <f t="shared" si="21"/>
        <v>0</v>
      </c>
      <c r="G27" s="170"/>
      <c r="H27" s="229">
        <f>D27*$M$5</f>
        <v>1.2</v>
      </c>
      <c r="I27" s="229">
        <v>40</v>
      </c>
      <c r="J27" s="234">
        <f t="shared" si="19"/>
        <v>3.3333333333333335</v>
      </c>
      <c r="L27" s="239">
        <f t="shared" si="20"/>
        <v>0</v>
      </c>
    </row>
    <row r="28" spans="1:12" x14ac:dyDescent="0.35">
      <c r="A28" s="150" t="s">
        <v>291</v>
      </c>
      <c r="B28" s="150">
        <v>3</v>
      </c>
      <c r="C28" s="170">
        <f>13611.74+45</f>
        <v>13656.74</v>
      </c>
      <c r="D28" s="170">
        <v>4860</v>
      </c>
      <c r="E28" s="170">
        <v>3851</v>
      </c>
      <c r="F28" s="170">
        <f t="shared" si="21"/>
        <v>427.88888888888891</v>
      </c>
      <c r="G28" s="170"/>
      <c r="H28" s="229">
        <v>0</v>
      </c>
      <c r="I28" s="229">
        <v>4990</v>
      </c>
      <c r="J28" s="234">
        <f t="shared" si="19"/>
        <v>415.83333333333331</v>
      </c>
      <c r="K28" s="213" t="s">
        <v>639</v>
      </c>
      <c r="L28" s="239">
        <f>(I12-I8)*(1)*0.05</f>
        <v>-6337.5</v>
      </c>
    </row>
    <row r="29" spans="1:12" hidden="1" x14ac:dyDescent="0.35">
      <c r="A29" s="150" t="s">
        <v>253</v>
      </c>
      <c r="B29" s="150"/>
      <c r="C29" s="170"/>
      <c r="D29" s="170">
        <v>0</v>
      </c>
      <c r="E29" s="170">
        <v>0</v>
      </c>
      <c r="F29" s="170">
        <f t="shared" si="21"/>
        <v>0</v>
      </c>
      <c r="G29" s="170"/>
      <c r="H29" s="229">
        <v>0</v>
      </c>
      <c r="I29" s="229">
        <v>0</v>
      </c>
      <c r="J29" s="234">
        <f t="shared" si="19"/>
        <v>0</v>
      </c>
      <c r="L29" s="239">
        <f t="shared" si="20"/>
        <v>0</v>
      </c>
    </row>
    <row r="30" spans="1:12" x14ac:dyDescent="0.35">
      <c r="A30" s="150" t="s">
        <v>43</v>
      </c>
      <c r="B30" s="150">
        <v>3</v>
      </c>
      <c r="C30" s="170">
        <f>1560.63-833</f>
        <v>727.63000000000011</v>
      </c>
      <c r="D30" s="170">
        <v>320</v>
      </c>
      <c r="E30" s="170">
        <v>193</v>
      </c>
      <c r="F30" s="170">
        <f t="shared" si="21"/>
        <v>21.444444444444443</v>
      </c>
      <c r="G30" s="170"/>
      <c r="H30" s="229">
        <f>D30*$M$5</f>
        <v>9.6</v>
      </c>
      <c r="I30" s="229">
        <v>260</v>
      </c>
      <c r="J30" s="234">
        <f t="shared" si="19"/>
        <v>21.666666666666668</v>
      </c>
      <c r="L30" s="239">
        <f t="shared" si="20"/>
        <v>259.26333333333332</v>
      </c>
    </row>
    <row r="31" spans="1:12" x14ac:dyDescent="0.35">
      <c r="A31" s="150" t="s">
        <v>44</v>
      </c>
      <c r="B31" s="150">
        <v>3</v>
      </c>
      <c r="C31" s="170">
        <f>1845.14-9</f>
        <v>1836.14</v>
      </c>
      <c r="D31" s="170">
        <v>600</v>
      </c>
      <c r="E31" s="170">
        <v>432</v>
      </c>
      <c r="F31" s="170">
        <f t="shared" si="21"/>
        <v>48</v>
      </c>
      <c r="G31" s="170"/>
      <c r="H31" s="229">
        <f>D31*$M$5</f>
        <v>18</v>
      </c>
      <c r="I31" s="229">
        <v>580</v>
      </c>
      <c r="J31" s="234">
        <f t="shared" si="19"/>
        <v>48.333333333333336</v>
      </c>
      <c r="L31" s="239">
        <f t="shared" si="20"/>
        <v>580.31999999999994</v>
      </c>
    </row>
    <row r="32" spans="1:12" ht="42" x14ac:dyDescent="0.35">
      <c r="A32" s="150" t="s">
        <v>45</v>
      </c>
      <c r="B32" s="150">
        <v>3</v>
      </c>
      <c r="C32" s="170">
        <f>929.74-289</f>
        <v>640.74</v>
      </c>
      <c r="D32" s="170">
        <v>339.9</v>
      </c>
      <c r="E32" s="170">
        <v>198</v>
      </c>
      <c r="F32" s="170">
        <f t="shared" si="21"/>
        <v>22</v>
      </c>
      <c r="G32" s="170"/>
      <c r="H32" s="229">
        <f>D32*$M$5</f>
        <v>10.196999999999999</v>
      </c>
      <c r="I32" s="229">
        <f>270+420</f>
        <v>690</v>
      </c>
      <c r="J32" s="234">
        <f t="shared" si="19"/>
        <v>57.5</v>
      </c>
      <c r="K32" s="173" t="s">
        <v>652</v>
      </c>
      <c r="L32" s="239">
        <f t="shared" si="20"/>
        <v>265.98</v>
      </c>
    </row>
    <row r="33" spans="1:13" x14ac:dyDescent="0.35">
      <c r="A33" s="150" t="s">
        <v>254</v>
      </c>
      <c r="B33" s="150">
        <v>3</v>
      </c>
      <c r="C33" s="170">
        <f>2422.52-501</f>
        <v>1921.52</v>
      </c>
      <c r="D33" s="170">
        <v>900</v>
      </c>
      <c r="E33" s="170">
        <v>476</v>
      </c>
      <c r="F33" s="170">
        <f t="shared" si="21"/>
        <v>52.888888888888886</v>
      </c>
      <c r="G33" s="141"/>
      <c r="H33" s="229">
        <f>D33*$M$5</f>
        <v>27</v>
      </c>
      <c r="I33" s="229">
        <v>640</v>
      </c>
      <c r="J33" s="234">
        <f t="shared" si="19"/>
        <v>53.333333333333336</v>
      </c>
      <c r="L33" s="239">
        <f t="shared" si="20"/>
        <v>639.42666666666662</v>
      </c>
    </row>
    <row r="34" spans="1:13" x14ac:dyDescent="0.35">
      <c r="A34" s="150" t="s">
        <v>46</v>
      </c>
      <c r="B34" s="150">
        <v>3</v>
      </c>
      <c r="C34" s="175">
        <f>877.73+315</f>
        <v>1192.73</v>
      </c>
      <c r="D34" s="175">
        <v>370</v>
      </c>
      <c r="E34" s="175">
        <v>136</v>
      </c>
      <c r="F34" s="175">
        <f>E34/9</f>
        <v>15.111111111111111</v>
      </c>
      <c r="G34" s="170"/>
      <c r="H34" s="250">
        <f>D34*$M$5</f>
        <v>11.1</v>
      </c>
      <c r="I34" s="250">
        <v>180</v>
      </c>
      <c r="J34" s="251">
        <f t="shared" si="19"/>
        <v>15</v>
      </c>
      <c r="L34" s="239">
        <f t="shared" si="20"/>
        <v>182.69333333333333</v>
      </c>
    </row>
    <row r="35" spans="1:13" x14ac:dyDescent="0.35">
      <c r="A35" s="169" t="s">
        <v>88</v>
      </c>
      <c r="B35" s="150"/>
      <c r="C35" s="170">
        <f>SUM(C24:C34)</f>
        <v>20617.66</v>
      </c>
      <c r="D35" s="170">
        <f>SUM(D24:D34)</f>
        <v>7619.9</v>
      </c>
      <c r="E35" s="170">
        <f>SUM(E24:E34)</f>
        <v>5401</v>
      </c>
      <c r="F35" s="170">
        <f>SUM(F25:F34)</f>
        <v>600.11111111111109</v>
      </c>
      <c r="G35" s="170"/>
      <c r="H35" s="228">
        <f>SUM(H24:H34)</f>
        <v>82.796999999999997</v>
      </c>
      <c r="I35" s="228">
        <f>SUM(I24:I34)</f>
        <v>7570</v>
      </c>
      <c r="J35" s="231">
        <f>SUM(J24:J34)</f>
        <v>630.83333333333337</v>
      </c>
    </row>
    <row r="36" spans="1:13" x14ac:dyDescent="0.35">
      <c r="H36" s="145"/>
      <c r="I36" s="145"/>
      <c r="J36" s="139"/>
    </row>
    <row r="37" spans="1:13" x14ac:dyDescent="0.35">
      <c r="A37" s="169" t="s">
        <v>455</v>
      </c>
      <c r="H37" s="145"/>
      <c r="I37" s="145"/>
      <c r="J37" s="139"/>
    </row>
    <row r="38" spans="1:13" x14ac:dyDescent="0.35">
      <c r="A38" s="150" t="s">
        <v>292</v>
      </c>
      <c r="B38" s="150">
        <v>3</v>
      </c>
      <c r="C38" s="170">
        <f>2065.91-19</f>
        <v>2046.9099999999999</v>
      </c>
      <c r="D38" s="170">
        <v>810</v>
      </c>
      <c r="E38" s="170">
        <v>444</v>
      </c>
      <c r="F38" s="170">
        <f>E38/9</f>
        <v>49.333333333333336</v>
      </c>
      <c r="G38" s="170"/>
      <c r="H38" s="229">
        <f>D38*$M$38</f>
        <v>56.7</v>
      </c>
      <c r="I38" s="229">
        <v>610</v>
      </c>
      <c r="J38" s="234">
        <f t="shared" ref="J38:J41" si="22">I38/12</f>
        <v>50.833333333333336</v>
      </c>
      <c r="K38" s="173" t="s">
        <v>530</v>
      </c>
      <c r="L38" s="239"/>
      <c r="M38" s="214">
        <v>7.0000000000000007E-2</v>
      </c>
    </row>
    <row r="39" spans="1:13" x14ac:dyDescent="0.35">
      <c r="A39" s="150" t="s">
        <v>47</v>
      </c>
      <c r="B39" s="150">
        <v>3</v>
      </c>
      <c r="C39" s="170">
        <f>6935.32+7</f>
        <v>6942.32</v>
      </c>
      <c r="D39" s="170">
        <v>2100</v>
      </c>
      <c r="E39" s="170">
        <v>1964</v>
      </c>
      <c r="F39" s="170">
        <f t="shared" ref="F39:F40" si="23">E39/9</f>
        <v>218.22222222222223</v>
      </c>
      <c r="G39" s="170"/>
      <c r="H39" s="229">
        <f>D39*$M$39</f>
        <v>105</v>
      </c>
      <c r="I39" s="229">
        <v>2720</v>
      </c>
      <c r="J39" s="234">
        <f t="shared" si="22"/>
        <v>226.66666666666666</v>
      </c>
      <c r="K39" s="173" t="s">
        <v>531</v>
      </c>
      <c r="L39" s="239">
        <f>SUM((E39+(F39*3))*1.04)</f>
        <v>2723.4133333333339</v>
      </c>
      <c r="M39" s="232">
        <v>0.05</v>
      </c>
    </row>
    <row r="40" spans="1:13" x14ac:dyDescent="0.35">
      <c r="A40" s="150" t="s">
        <v>48</v>
      </c>
      <c r="B40" s="150">
        <v>3</v>
      </c>
      <c r="C40" s="170">
        <f>1977.01+573</f>
        <v>2550.0100000000002</v>
      </c>
      <c r="D40" s="170">
        <v>620</v>
      </c>
      <c r="E40" s="170">
        <v>462</v>
      </c>
      <c r="F40" s="170">
        <f t="shared" si="23"/>
        <v>51.333333333333336</v>
      </c>
      <c r="G40" s="170"/>
      <c r="H40" s="229">
        <f>D40*$M$40</f>
        <v>43.400000000000006</v>
      </c>
      <c r="I40" s="229">
        <v>650</v>
      </c>
      <c r="J40" s="234">
        <f t="shared" si="22"/>
        <v>54.166666666666664</v>
      </c>
      <c r="K40" s="173" t="s">
        <v>590</v>
      </c>
      <c r="L40" s="239">
        <f>SUM((E40+(F40*3))*1.05)</f>
        <v>646.80000000000007</v>
      </c>
      <c r="M40" s="188">
        <v>7.0000000000000007E-2</v>
      </c>
    </row>
    <row r="41" spans="1:13" x14ac:dyDescent="0.35">
      <c r="A41" s="150" t="s">
        <v>49</v>
      </c>
      <c r="B41" s="150">
        <v>3</v>
      </c>
      <c r="C41" s="175">
        <f>3529.92+871</f>
        <v>4400.92</v>
      </c>
      <c r="D41" s="175">
        <v>1150</v>
      </c>
      <c r="E41" s="175">
        <v>1216</v>
      </c>
      <c r="F41" s="175">
        <f>E41/9</f>
        <v>135.11111111111111</v>
      </c>
      <c r="G41" s="141"/>
      <c r="H41" s="250">
        <f>D41*$M$41</f>
        <v>57.5</v>
      </c>
      <c r="I41" s="250">
        <v>1690</v>
      </c>
      <c r="J41" s="251">
        <f t="shared" si="22"/>
        <v>140.83333333333334</v>
      </c>
      <c r="K41" s="173" t="s">
        <v>531</v>
      </c>
      <c r="L41" s="239">
        <f>SUM((E41+(F41*3))*1.04)</f>
        <v>1686.186666666667</v>
      </c>
      <c r="M41" s="188">
        <v>0.05</v>
      </c>
    </row>
    <row r="42" spans="1:13" x14ac:dyDescent="0.35">
      <c r="A42" s="169" t="s">
        <v>89</v>
      </c>
      <c r="B42" s="150"/>
      <c r="C42" s="170">
        <f>SUM(C38:C41)</f>
        <v>15940.16</v>
      </c>
      <c r="D42" s="170">
        <f>SUM(D38:D41)</f>
        <v>4680</v>
      </c>
      <c r="E42" s="170">
        <f>SUM(E38:E41)</f>
        <v>4086</v>
      </c>
      <c r="F42" s="170">
        <f>SUM(F38:F41)</f>
        <v>454</v>
      </c>
      <c r="G42" s="170"/>
      <c r="H42" s="228">
        <f>SUM(H38:H41)</f>
        <v>262.60000000000002</v>
      </c>
      <c r="I42" s="228">
        <f t="shared" ref="I42:J42" si="24">SUM(I38:I41)</f>
        <v>5670</v>
      </c>
      <c r="J42" s="231">
        <f t="shared" si="24"/>
        <v>472.5</v>
      </c>
    </row>
    <row r="43" spans="1:13" x14ac:dyDescent="0.35">
      <c r="A43" s="169"/>
      <c r="B43" s="150"/>
      <c r="C43" s="170"/>
      <c r="D43" s="170"/>
      <c r="E43" s="170"/>
      <c r="F43" s="170"/>
      <c r="G43" s="170"/>
      <c r="H43" s="228"/>
      <c r="I43" s="228"/>
      <c r="J43" s="231"/>
    </row>
    <row r="44" spans="1:13" x14ac:dyDescent="0.35">
      <c r="A44" s="169" t="s">
        <v>456</v>
      </c>
      <c r="B44" s="150"/>
      <c r="C44" s="170"/>
      <c r="D44" s="170"/>
      <c r="E44" s="170"/>
      <c r="F44" s="170"/>
      <c r="G44" s="170"/>
      <c r="H44" s="228"/>
      <c r="I44" s="228"/>
      <c r="J44" s="231"/>
    </row>
    <row r="45" spans="1:13" x14ac:dyDescent="0.35">
      <c r="A45" s="150" t="s">
        <v>51</v>
      </c>
      <c r="B45" s="150">
        <v>3</v>
      </c>
      <c r="C45" s="170">
        <f>551.34-201</f>
        <v>350.34000000000003</v>
      </c>
      <c r="D45" s="170">
        <v>200</v>
      </c>
      <c r="E45" s="170">
        <v>425</v>
      </c>
      <c r="F45" s="170">
        <f>E45/9</f>
        <v>47.222222222222221</v>
      </c>
      <c r="G45" s="170"/>
      <c r="H45" s="229">
        <f t="shared" ref="H45:H55" si="25">D45*$M$5</f>
        <v>6</v>
      </c>
      <c r="I45" s="229">
        <v>570</v>
      </c>
      <c r="J45" s="234">
        <f t="shared" ref="J45:J55" si="26">I45/12</f>
        <v>47.5</v>
      </c>
      <c r="L45" s="239">
        <f t="shared" ref="L45:L54" si="27">SUM(E45)+(F45*3)*1.03</f>
        <v>570.91666666666663</v>
      </c>
    </row>
    <row r="46" spans="1:13" x14ac:dyDescent="0.35">
      <c r="A46" s="150" t="s">
        <v>52</v>
      </c>
      <c r="B46" s="150">
        <v>3</v>
      </c>
      <c r="C46" s="170">
        <f>2588.33+1663</f>
        <v>4251.33</v>
      </c>
      <c r="D46" s="170">
        <v>1110</v>
      </c>
      <c r="E46" s="170">
        <v>0</v>
      </c>
      <c r="F46" s="170">
        <f t="shared" ref="F46:F53" si="28">E46/9</f>
        <v>0</v>
      </c>
      <c r="G46" s="170"/>
      <c r="H46" s="229">
        <f t="shared" si="25"/>
        <v>33.299999999999997</v>
      </c>
      <c r="I46" s="229">
        <v>900</v>
      </c>
      <c r="J46" s="234">
        <f t="shared" si="26"/>
        <v>75</v>
      </c>
      <c r="L46" s="239">
        <f t="shared" si="27"/>
        <v>0</v>
      </c>
    </row>
    <row r="47" spans="1:13" x14ac:dyDescent="0.35">
      <c r="A47" s="150" t="s">
        <v>53</v>
      </c>
      <c r="B47" s="150">
        <v>3</v>
      </c>
      <c r="C47" s="170">
        <f>3054.81+616</f>
        <v>3670.81</v>
      </c>
      <c r="D47" s="170">
        <v>1110</v>
      </c>
      <c r="E47" s="170">
        <v>941</v>
      </c>
      <c r="F47" s="170">
        <f t="shared" si="28"/>
        <v>104.55555555555556</v>
      </c>
      <c r="G47" s="170"/>
      <c r="H47" s="229">
        <f t="shared" si="25"/>
        <v>33.299999999999997</v>
      </c>
      <c r="I47" s="229">
        <v>1270</v>
      </c>
      <c r="J47" s="234">
        <f t="shared" si="26"/>
        <v>105.83333333333333</v>
      </c>
      <c r="K47" s="173" t="s">
        <v>570</v>
      </c>
      <c r="L47" s="239">
        <f>SUM(E47)+(F47*3)*1.04</f>
        <v>1267.2133333333334</v>
      </c>
    </row>
    <row r="48" spans="1:13" x14ac:dyDescent="0.35">
      <c r="A48" s="150" t="s">
        <v>54</v>
      </c>
      <c r="B48" s="150">
        <v>3</v>
      </c>
      <c r="C48" s="170">
        <f>5542.5-1290</f>
        <v>4252.5</v>
      </c>
      <c r="D48" s="170">
        <v>1570</v>
      </c>
      <c r="E48" s="170">
        <v>1060</v>
      </c>
      <c r="F48" s="170">
        <f t="shared" si="28"/>
        <v>117.77777777777777</v>
      </c>
      <c r="G48" s="170"/>
      <c r="H48" s="229">
        <f t="shared" si="25"/>
        <v>47.1</v>
      </c>
      <c r="I48" s="229">
        <v>1420</v>
      </c>
      <c r="J48" s="234">
        <f t="shared" si="26"/>
        <v>118.33333333333333</v>
      </c>
      <c r="L48" s="239">
        <f t="shared" si="27"/>
        <v>1423.9333333333334</v>
      </c>
    </row>
    <row r="49" spans="1:13" x14ac:dyDescent="0.35">
      <c r="A49" s="150" t="s">
        <v>257</v>
      </c>
      <c r="B49" s="150">
        <v>3</v>
      </c>
      <c r="C49" s="170">
        <f>11690.24-1525</f>
        <v>10165.24</v>
      </c>
      <c r="D49" s="170">
        <v>3500</v>
      </c>
      <c r="E49" s="170">
        <v>2715</v>
      </c>
      <c r="F49" s="170">
        <f t="shared" si="28"/>
        <v>301.66666666666669</v>
      </c>
      <c r="G49" s="170"/>
      <c r="H49" s="229">
        <f t="shared" si="25"/>
        <v>105</v>
      </c>
      <c r="I49" s="229">
        <v>3650</v>
      </c>
      <c r="J49" s="234">
        <f t="shared" si="26"/>
        <v>304.16666666666669</v>
      </c>
      <c r="L49" s="239">
        <f t="shared" si="27"/>
        <v>3647.15</v>
      </c>
    </row>
    <row r="50" spans="1:13" x14ac:dyDescent="0.35">
      <c r="A50" s="150" t="s">
        <v>55</v>
      </c>
      <c r="B50" s="150">
        <v>3</v>
      </c>
      <c r="C50" s="170">
        <f>19978.36+498</f>
        <v>20476.36</v>
      </c>
      <c r="D50" s="170">
        <v>5000</v>
      </c>
      <c r="E50" s="170">
        <v>5784</v>
      </c>
      <c r="F50" s="170">
        <f t="shared" si="28"/>
        <v>642.66666666666663</v>
      </c>
      <c r="G50" s="170"/>
      <c r="H50" s="229">
        <f t="shared" si="25"/>
        <v>150</v>
      </c>
      <c r="I50" s="229">
        <v>7770</v>
      </c>
      <c r="J50" s="234">
        <f t="shared" si="26"/>
        <v>647.5</v>
      </c>
      <c r="K50" s="173"/>
      <c r="L50" s="239">
        <f t="shared" si="27"/>
        <v>7769.84</v>
      </c>
    </row>
    <row r="51" spans="1:13" x14ac:dyDescent="0.35">
      <c r="A51" s="150" t="s">
        <v>526</v>
      </c>
      <c r="B51" s="150"/>
      <c r="C51" s="151"/>
      <c r="D51" s="170">
        <v>0</v>
      </c>
      <c r="E51" s="170">
        <v>0</v>
      </c>
      <c r="F51" s="170">
        <f>E51/9</f>
        <v>0</v>
      </c>
      <c r="G51" s="170"/>
      <c r="H51" s="171"/>
      <c r="I51" s="171">
        <v>1070</v>
      </c>
      <c r="J51" s="172">
        <f>I51/12</f>
        <v>89.166666666666671</v>
      </c>
      <c r="K51" s="173" t="s">
        <v>623</v>
      </c>
      <c r="L51" s="134">
        <f t="shared" ref="L51:L52" si="29">SUM((E51+(F51*3))*1.03)</f>
        <v>0</v>
      </c>
    </row>
    <row r="52" spans="1:13" x14ac:dyDescent="0.35">
      <c r="A52" s="150" t="s">
        <v>527</v>
      </c>
      <c r="B52" s="150"/>
      <c r="C52" s="151"/>
      <c r="D52" s="170">
        <v>0</v>
      </c>
      <c r="E52" s="170">
        <v>0</v>
      </c>
      <c r="F52" s="170">
        <f>E52/9</f>
        <v>0</v>
      </c>
      <c r="G52" s="170"/>
      <c r="H52" s="171"/>
      <c r="I52" s="171">
        <f>300+1200+600</f>
        <v>2100</v>
      </c>
      <c r="J52" s="172">
        <f>I52/12</f>
        <v>175</v>
      </c>
      <c r="K52" s="173" t="s">
        <v>644</v>
      </c>
      <c r="L52" s="134">
        <f t="shared" si="29"/>
        <v>0</v>
      </c>
    </row>
    <row r="53" spans="1:13" x14ac:dyDescent="0.35">
      <c r="A53" s="150" t="s">
        <v>56</v>
      </c>
      <c r="B53" s="150">
        <v>3</v>
      </c>
      <c r="C53" s="170">
        <f>13564.66+415</f>
        <v>13979.66</v>
      </c>
      <c r="D53" s="170">
        <v>1200</v>
      </c>
      <c r="E53" s="170">
        <v>2208</v>
      </c>
      <c r="F53" s="170">
        <f t="shared" si="28"/>
        <v>245.33333333333334</v>
      </c>
      <c r="G53" s="141"/>
      <c r="H53" s="229">
        <f t="shared" si="25"/>
        <v>36</v>
      </c>
      <c r="I53" s="229">
        <v>2970</v>
      </c>
      <c r="J53" s="234">
        <f t="shared" si="26"/>
        <v>247.5</v>
      </c>
      <c r="L53" s="239">
        <f t="shared" si="27"/>
        <v>2966.08</v>
      </c>
    </row>
    <row r="54" spans="1:13" x14ac:dyDescent="0.35">
      <c r="A54" s="150" t="s">
        <v>57</v>
      </c>
      <c r="B54" s="150">
        <v>3</v>
      </c>
      <c r="C54" s="175">
        <f>6807.51-1535</f>
        <v>5272.51</v>
      </c>
      <c r="D54" s="175">
        <v>2800</v>
      </c>
      <c r="E54" s="175">
        <v>1466</v>
      </c>
      <c r="F54" s="175">
        <f>E54/9</f>
        <v>162.88888888888889</v>
      </c>
      <c r="G54" s="170"/>
      <c r="H54" s="250">
        <f t="shared" si="25"/>
        <v>84</v>
      </c>
      <c r="I54" s="250">
        <v>2066</v>
      </c>
      <c r="J54" s="251">
        <f t="shared" si="26"/>
        <v>172.16666666666666</v>
      </c>
      <c r="K54" s="134" t="s">
        <v>655</v>
      </c>
      <c r="L54" s="239">
        <f t="shared" si="27"/>
        <v>1969.3266666666666</v>
      </c>
    </row>
    <row r="55" spans="1:13" x14ac:dyDescent="0.35">
      <c r="A55" s="169" t="s">
        <v>91</v>
      </c>
      <c r="B55" s="150"/>
      <c r="C55" s="170">
        <f>SUM(C45:C54)</f>
        <v>62418.750000000007</v>
      </c>
      <c r="D55" s="170">
        <f>SUM(D45:D54)</f>
        <v>16490</v>
      </c>
      <c r="E55" s="170">
        <f>SUM(E45:E54)</f>
        <v>14599</v>
      </c>
      <c r="F55" s="170">
        <f>SUM(F45:F54)</f>
        <v>1622.1111111111109</v>
      </c>
      <c r="G55" s="170"/>
      <c r="H55" s="225">
        <f t="shared" si="25"/>
        <v>494.7</v>
      </c>
      <c r="I55" s="228">
        <f>SUM(I45:I54)</f>
        <v>23786</v>
      </c>
      <c r="J55" s="231">
        <f t="shared" si="26"/>
        <v>1982.1666666666667</v>
      </c>
    </row>
    <row r="56" spans="1:13" x14ac:dyDescent="0.35">
      <c r="A56" s="150"/>
      <c r="B56" s="150"/>
      <c r="C56" s="227"/>
      <c r="D56" s="227"/>
      <c r="E56" s="227"/>
      <c r="F56" s="227"/>
      <c r="G56" s="227"/>
      <c r="H56" s="228"/>
      <c r="I56" s="229"/>
      <c r="J56" s="230"/>
      <c r="K56" s="232"/>
    </row>
    <row r="57" spans="1:13" x14ac:dyDescent="0.35">
      <c r="A57" s="169" t="s">
        <v>457</v>
      </c>
      <c r="B57" s="150"/>
      <c r="C57" s="227"/>
      <c r="D57" s="227"/>
      <c r="E57" s="227"/>
      <c r="F57" s="227"/>
      <c r="G57" s="227"/>
      <c r="H57" s="228"/>
      <c r="I57" s="229"/>
      <c r="J57" s="230"/>
      <c r="K57" s="232"/>
    </row>
    <row r="58" spans="1:13" x14ac:dyDescent="0.35">
      <c r="A58" s="150" t="s">
        <v>42</v>
      </c>
      <c r="B58" s="150">
        <v>3</v>
      </c>
      <c r="C58" s="170">
        <f>35.543-7</f>
        <v>28.542999999999999</v>
      </c>
      <c r="D58" s="170">
        <v>90</v>
      </c>
      <c r="E58" s="170">
        <v>19</v>
      </c>
      <c r="F58" s="170">
        <f>E58/9</f>
        <v>2.1111111111111112</v>
      </c>
      <c r="G58" s="170"/>
      <c r="H58" s="229">
        <v>0</v>
      </c>
      <c r="I58" s="229">
        <v>230</v>
      </c>
      <c r="J58" s="234">
        <f t="shared" ref="J58:J65" si="30">I58/12</f>
        <v>19.166666666666668</v>
      </c>
      <c r="K58" s="173" t="s">
        <v>427</v>
      </c>
      <c r="L58" s="134">
        <f>SUM(I53)*7.65%</f>
        <v>227.20499999999998</v>
      </c>
      <c r="M58" s="214">
        <v>7.6499999999999999E-2</v>
      </c>
    </row>
    <row r="59" spans="1:13" x14ac:dyDescent="0.35">
      <c r="A59" s="150" t="s">
        <v>260</v>
      </c>
      <c r="B59" s="150">
        <v>3</v>
      </c>
      <c r="C59" s="170">
        <f>34804.26+9623</f>
        <v>44427.26</v>
      </c>
      <c r="D59" s="170">
        <v>11040</v>
      </c>
      <c r="E59" s="170">
        <v>13336</v>
      </c>
      <c r="F59" s="170">
        <f t="shared" ref="F59:F63" si="31">E59/9</f>
        <v>1481.7777777777778</v>
      </c>
      <c r="G59" s="170"/>
      <c r="H59" s="229">
        <f>D59*$M$59</f>
        <v>552</v>
      </c>
      <c r="I59" s="229">
        <v>13470</v>
      </c>
      <c r="J59" s="234">
        <f t="shared" si="30"/>
        <v>1122.5</v>
      </c>
      <c r="K59" s="173" t="s">
        <v>571</v>
      </c>
      <c r="L59" s="134">
        <f>E59*1.01</f>
        <v>13469.36</v>
      </c>
      <c r="M59" s="188">
        <v>0.05</v>
      </c>
    </row>
    <row r="60" spans="1:13" x14ac:dyDescent="0.35">
      <c r="A60" s="150" t="s">
        <v>59</v>
      </c>
      <c r="B60" s="150">
        <v>3</v>
      </c>
      <c r="C60" s="170">
        <f>1616.46+1453</f>
        <v>3069.46</v>
      </c>
      <c r="D60" s="170">
        <v>360</v>
      </c>
      <c r="E60" s="170">
        <v>55</v>
      </c>
      <c r="F60" s="170">
        <f t="shared" si="31"/>
        <v>6.1111111111111107</v>
      </c>
      <c r="G60" s="170"/>
      <c r="H60" s="229">
        <v>0</v>
      </c>
      <c r="I60" s="229">
        <v>890</v>
      </c>
      <c r="J60" s="234">
        <f t="shared" si="30"/>
        <v>74.166666666666671</v>
      </c>
      <c r="K60" s="173" t="s">
        <v>424</v>
      </c>
      <c r="L60" s="134">
        <f>SUM(I53)*0.3</f>
        <v>891</v>
      </c>
      <c r="M60" s="188">
        <v>0.3</v>
      </c>
    </row>
    <row r="61" spans="1:13" x14ac:dyDescent="0.35">
      <c r="A61" s="150" t="s">
        <v>293</v>
      </c>
      <c r="B61" s="150">
        <v>3</v>
      </c>
      <c r="C61" s="170">
        <f>278.8+12</f>
        <v>290.8</v>
      </c>
      <c r="D61" s="170">
        <v>50</v>
      </c>
      <c r="E61" s="170">
        <v>362</v>
      </c>
      <c r="F61" s="170">
        <f t="shared" si="31"/>
        <v>40.222222222222221</v>
      </c>
      <c r="G61" s="170"/>
      <c r="H61" s="229">
        <f>D61*$M$5</f>
        <v>1.5</v>
      </c>
      <c r="I61" s="229">
        <v>500</v>
      </c>
      <c r="J61" s="234">
        <f t="shared" si="30"/>
        <v>41.666666666666664</v>
      </c>
      <c r="K61" s="173" t="s">
        <v>640</v>
      </c>
      <c r="L61" s="134">
        <f>SUM((E61+(F61*3))*1.03)</f>
        <v>497.14666666666665</v>
      </c>
    </row>
    <row r="62" spans="1:13" x14ac:dyDescent="0.35">
      <c r="A62" s="150" t="s">
        <v>61</v>
      </c>
      <c r="B62" s="150">
        <v>3</v>
      </c>
      <c r="C62" s="170">
        <f>725.33+731</f>
        <v>1456.33</v>
      </c>
      <c r="D62" s="170">
        <v>500</v>
      </c>
      <c r="E62" s="170">
        <v>0</v>
      </c>
      <c r="F62" s="170">
        <f t="shared" si="31"/>
        <v>0</v>
      </c>
      <c r="G62" s="141"/>
      <c r="H62" s="229">
        <f>D62*$M$5</f>
        <v>15</v>
      </c>
      <c r="I62" s="229">
        <v>500</v>
      </c>
      <c r="J62" s="234">
        <f t="shared" si="30"/>
        <v>41.666666666666664</v>
      </c>
      <c r="L62" s="134">
        <f t="shared" ref="L62:L63" si="32">SUM(E62)+(F62*3)*1.03</f>
        <v>0</v>
      </c>
    </row>
    <row r="63" spans="1:13" x14ac:dyDescent="0.35">
      <c r="A63" s="150" t="s">
        <v>70</v>
      </c>
      <c r="B63" s="150"/>
      <c r="C63" s="170"/>
      <c r="D63" s="170">
        <v>0</v>
      </c>
      <c r="E63" s="170">
        <v>21</v>
      </c>
      <c r="F63" s="170">
        <f t="shared" si="31"/>
        <v>2.3333333333333335</v>
      </c>
      <c r="G63" s="141"/>
      <c r="H63" s="229"/>
      <c r="I63" s="229">
        <v>30</v>
      </c>
      <c r="J63" s="234">
        <f t="shared" si="30"/>
        <v>2.5</v>
      </c>
      <c r="L63" s="134">
        <f t="shared" si="32"/>
        <v>28.21</v>
      </c>
    </row>
    <row r="64" spans="1:13" x14ac:dyDescent="0.35">
      <c r="A64" s="150" t="s">
        <v>62</v>
      </c>
      <c r="B64" s="150">
        <v>3</v>
      </c>
      <c r="C64" s="175">
        <f>71563.92+2562</f>
        <v>74125.919999999998</v>
      </c>
      <c r="D64" s="175">
        <v>25450</v>
      </c>
      <c r="E64" s="175">
        <v>20704</v>
      </c>
      <c r="F64" s="175">
        <f>E64/9</f>
        <v>2300.4444444444443</v>
      </c>
      <c r="G64" s="170"/>
      <c r="H64" s="250">
        <v>0</v>
      </c>
      <c r="I64" s="250">
        <v>27850</v>
      </c>
      <c r="J64" s="251">
        <f t="shared" si="30"/>
        <v>2320.8333333333335</v>
      </c>
      <c r="K64" s="173" t="s">
        <v>262</v>
      </c>
    </row>
    <row r="65" spans="1:14" x14ac:dyDescent="0.35">
      <c r="A65" s="169" t="s">
        <v>92</v>
      </c>
      <c r="B65" s="150"/>
      <c r="C65" s="170">
        <f>SUM(C56:C64)</f>
        <v>123398.31299999999</v>
      </c>
      <c r="D65" s="170">
        <f>SUM(D56:D64)</f>
        <v>37490</v>
      </c>
      <c r="E65" s="170">
        <f>SUM(E56:E64)</f>
        <v>34497</v>
      </c>
      <c r="F65" s="170">
        <f>SUM(F58:F64)</f>
        <v>3833</v>
      </c>
      <c r="G65" s="170"/>
      <c r="H65" s="228">
        <f>D65*$M$5</f>
        <v>1124.7</v>
      </c>
      <c r="I65" s="228">
        <f>SUM(I58:I64)</f>
        <v>43470</v>
      </c>
      <c r="J65" s="231">
        <f t="shared" si="30"/>
        <v>3622.5</v>
      </c>
    </row>
    <row r="66" spans="1:14" x14ac:dyDescent="0.35">
      <c r="A66" s="169"/>
      <c r="B66" s="150"/>
      <c r="C66" s="170"/>
      <c r="D66" s="170"/>
      <c r="E66" s="170"/>
      <c r="F66" s="170"/>
      <c r="G66" s="170"/>
      <c r="H66" s="228"/>
      <c r="I66" s="228"/>
      <c r="J66" s="231"/>
    </row>
    <row r="67" spans="1:14" x14ac:dyDescent="0.35">
      <c r="A67" s="169" t="s">
        <v>459</v>
      </c>
      <c r="B67" s="150"/>
      <c r="C67" s="170"/>
      <c r="D67" s="170"/>
      <c r="E67" s="170"/>
      <c r="F67" s="170"/>
      <c r="G67" s="170"/>
      <c r="H67" s="228"/>
      <c r="I67" s="228"/>
      <c r="J67" s="231"/>
    </row>
    <row r="68" spans="1:14" x14ac:dyDescent="0.35">
      <c r="A68" s="150" t="s">
        <v>294</v>
      </c>
      <c r="B68" s="150">
        <v>3</v>
      </c>
      <c r="C68" s="170">
        <f>66665.14-19917</f>
        <v>46748.14</v>
      </c>
      <c r="D68" s="170">
        <v>16050</v>
      </c>
      <c r="E68" s="170">
        <v>13530</v>
      </c>
      <c r="F68" s="170">
        <f>E68/9</f>
        <v>1503.3333333333333</v>
      </c>
      <c r="G68" s="170"/>
      <c r="H68" s="229">
        <v>0</v>
      </c>
      <c r="I68" s="229">
        <v>13840</v>
      </c>
      <c r="J68" s="234">
        <f>I68/12</f>
        <v>1153.3333333333333</v>
      </c>
      <c r="K68" s="173" t="s">
        <v>582</v>
      </c>
    </row>
    <row r="69" spans="1:14" x14ac:dyDescent="0.35">
      <c r="A69" s="150" t="s">
        <v>295</v>
      </c>
      <c r="B69" s="150">
        <v>3</v>
      </c>
      <c r="C69" s="151">
        <f>114545.25+8367</f>
        <v>122912.25</v>
      </c>
      <c r="D69" s="175">
        <v>42190</v>
      </c>
      <c r="E69" s="175">
        <v>35008</v>
      </c>
      <c r="F69" s="175">
        <f>E69/9</f>
        <v>3889.7777777777778</v>
      </c>
      <c r="G69" s="141"/>
      <c r="H69" s="250">
        <v>0</v>
      </c>
      <c r="I69" s="250">
        <v>44400</v>
      </c>
      <c r="J69" s="251">
        <f>I69/12</f>
        <v>3700</v>
      </c>
      <c r="K69" s="173" t="s">
        <v>582</v>
      </c>
    </row>
    <row r="70" spans="1:14" x14ac:dyDescent="0.35">
      <c r="A70" s="169" t="s">
        <v>314</v>
      </c>
      <c r="B70" s="150"/>
      <c r="C70" s="170">
        <f>SUM(C68:C69)</f>
        <v>169660.39</v>
      </c>
      <c r="D70" s="170">
        <f t="shared" ref="D70:J70" si="33">SUM(D68:D69)</f>
        <v>58240</v>
      </c>
      <c r="E70" s="170">
        <f t="shared" si="33"/>
        <v>48538</v>
      </c>
      <c r="F70" s="170">
        <f>SUM(F68:F69)</f>
        <v>5393.1111111111113</v>
      </c>
      <c r="G70" s="170"/>
      <c r="H70" s="171">
        <f t="shared" si="33"/>
        <v>0</v>
      </c>
      <c r="I70" s="171">
        <f>SUM(I68:I69)</f>
        <v>58240</v>
      </c>
      <c r="J70" s="172">
        <f t="shared" si="33"/>
        <v>4853.333333333333</v>
      </c>
    </row>
    <row r="71" spans="1:14" x14ac:dyDescent="0.35">
      <c r="A71" s="169"/>
      <c r="B71" s="150"/>
      <c r="C71" s="227"/>
      <c r="D71" s="227"/>
      <c r="E71" s="227"/>
      <c r="F71" s="227"/>
      <c r="G71" s="227"/>
      <c r="H71" s="228"/>
      <c r="I71" s="229"/>
      <c r="J71" s="230"/>
    </row>
    <row r="72" spans="1:14" x14ac:dyDescent="0.35">
      <c r="A72" s="169" t="s">
        <v>84</v>
      </c>
      <c r="B72" s="150"/>
      <c r="C72" s="227"/>
      <c r="D72" s="227"/>
      <c r="E72" s="227"/>
      <c r="F72" s="227"/>
      <c r="G72" s="227"/>
      <c r="H72" s="228"/>
      <c r="I72" s="229"/>
      <c r="J72" s="230"/>
    </row>
    <row r="73" spans="1:14" x14ac:dyDescent="0.35">
      <c r="A73" s="150" t="s">
        <v>63</v>
      </c>
      <c r="B73" s="150">
        <v>3</v>
      </c>
      <c r="C73" s="163">
        <f>11212.5-538</f>
        <v>10674.5</v>
      </c>
      <c r="D73" s="175">
        <v>3600</v>
      </c>
      <c r="E73" s="175">
        <v>2812</v>
      </c>
      <c r="F73" s="175">
        <f>E73/9</f>
        <v>312.44444444444446</v>
      </c>
      <c r="G73" s="141"/>
      <c r="H73" s="250">
        <v>0</v>
      </c>
      <c r="I73" s="250">
        <v>3600</v>
      </c>
      <c r="J73" s="251">
        <f t="shared" ref="J73" si="34">I73/12</f>
        <v>300</v>
      </c>
      <c r="N73" s="134">
        <f>SUM(I69)*7.65%</f>
        <v>3396.6</v>
      </c>
    </row>
    <row r="74" spans="1:14" hidden="1" x14ac:dyDescent="0.35">
      <c r="A74" s="169" t="s">
        <v>93</v>
      </c>
      <c r="B74" s="150"/>
      <c r="C74" s="170">
        <f>SUM(C73)</f>
        <v>10674.5</v>
      </c>
      <c r="D74" s="170">
        <f t="shared" ref="D74:J74" si="35">SUM(D73)</f>
        <v>3600</v>
      </c>
      <c r="E74" s="170">
        <f t="shared" si="35"/>
        <v>2812</v>
      </c>
      <c r="F74" s="175">
        <f t="shared" ref="F74:F78" si="36">E74/9</f>
        <v>312.44444444444446</v>
      </c>
      <c r="G74" s="170"/>
      <c r="H74" s="229">
        <f t="shared" si="35"/>
        <v>0</v>
      </c>
      <c r="I74" s="229">
        <v>0</v>
      </c>
      <c r="J74" s="234">
        <f t="shared" si="35"/>
        <v>300</v>
      </c>
    </row>
    <row r="75" spans="1:14" hidden="1" x14ac:dyDescent="0.35">
      <c r="A75" s="150"/>
      <c r="B75" s="150"/>
      <c r="C75" s="150"/>
      <c r="D75" s="150"/>
      <c r="E75" s="150"/>
      <c r="F75" s="175">
        <f t="shared" si="36"/>
        <v>0</v>
      </c>
      <c r="G75" s="150"/>
      <c r="H75" s="233"/>
      <c r="I75" s="233">
        <v>0</v>
      </c>
      <c r="J75" s="139"/>
      <c r="N75" s="134">
        <f>SUM(I69)*30%</f>
        <v>13320</v>
      </c>
    </row>
    <row r="76" spans="1:14" x14ac:dyDescent="0.35">
      <c r="A76" s="150" t="s">
        <v>296</v>
      </c>
      <c r="B76" s="150">
        <v>3</v>
      </c>
      <c r="C76" s="170">
        <v>0</v>
      </c>
      <c r="D76" s="170">
        <f t="shared" ref="D76:D84" si="37">C76/3</f>
        <v>0</v>
      </c>
      <c r="E76" s="170">
        <f t="shared" ref="E76:E84" si="38">D76/12</f>
        <v>0</v>
      </c>
      <c r="F76" s="170">
        <f t="shared" si="36"/>
        <v>0</v>
      </c>
      <c r="G76" s="170"/>
      <c r="H76" s="229">
        <f t="shared" ref="H76:H84" si="39">D76*$M$5</f>
        <v>0</v>
      </c>
      <c r="I76" s="229">
        <f>SUM(I73:I75)</f>
        <v>3600</v>
      </c>
      <c r="J76" s="172">
        <f t="shared" ref="J76:J85" si="40">I76/12</f>
        <v>300</v>
      </c>
      <c r="N76" s="134">
        <f>SUM((E76+(F76*3))*1.03)</f>
        <v>0</v>
      </c>
    </row>
    <row r="77" spans="1:14" x14ac:dyDescent="0.35">
      <c r="A77" s="169" t="s">
        <v>458</v>
      </c>
      <c r="B77" s="150"/>
      <c r="C77" s="170"/>
      <c r="D77" s="170"/>
      <c r="E77" s="170"/>
      <c r="F77" s="170"/>
      <c r="G77" s="170"/>
      <c r="H77" s="229"/>
      <c r="I77" s="229"/>
      <c r="J77" s="172"/>
    </row>
    <row r="78" spans="1:14" hidden="1" x14ac:dyDescent="0.35">
      <c r="A78" s="150" t="s">
        <v>297</v>
      </c>
      <c r="B78" s="150">
        <v>3</v>
      </c>
      <c r="C78" s="170">
        <v>0</v>
      </c>
      <c r="D78" s="170">
        <v>0</v>
      </c>
      <c r="E78" s="170">
        <v>0</v>
      </c>
      <c r="F78" s="175">
        <f t="shared" si="36"/>
        <v>0</v>
      </c>
      <c r="G78" s="170"/>
      <c r="H78" s="229">
        <v>0</v>
      </c>
      <c r="I78" s="229">
        <v>0</v>
      </c>
      <c r="J78" s="172">
        <f t="shared" si="40"/>
        <v>0</v>
      </c>
    </row>
    <row r="79" spans="1:14" x14ac:dyDescent="0.35">
      <c r="A79" s="150" t="s">
        <v>25</v>
      </c>
      <c r="B79" s="150">
        <v>3</v>
      </c>
      <c r="C79" s="170">
        <v>0</v>
      </c>
      <c r="D79" s="175">
        <v>0</v>
      </c>
      <c r="E79" s="175">
        <v>0</v>
      </c>
      <c r="F79" s="175">
        <f t="shared" ref="F79" si="41">E79/9*12</f>
        <v>0</v>
      </c>
      <c r="G79" s="170"/>
      <c r="H79" s="229">
        <v>0</v>
      </c>
      <c r="I79" s="250">
        <v>12000</v>
      </c>
      <c r="J79" s="177">
        <f t="shared" si="40"/>
        <v>1000</v>
      </c>
      <c r="K79" s="173" t="s">
        <v>604</v>
      </c>
    </row>
    <row r="80" spans="1:14" x14ac:dyDescent="0.35">
      <c r="A80" s="150" t="s">
        <v>298</v>
      </c>
      <c r="B80" s="150">
        <v>3</v>
      </c>
      <c r="C80" s="170">
        <f>27100+16</f>
        <v>27116</v>
      </c>
      <c r="D80" s="170">
        <v>0</v>
      </c>
      <c r="E80" s="170">
        <v>1950</v>
      </c>
      <c r="F80" s="170">
        <f t="shared" ref="F80:F82" si="42">E80/9</f>
        <v>216.66666666666666</v>
      </c>
      <c r="G80" s="170"/>
      <c r="H80" s="229">
        <v>0</v>
      </c>
      <c r="I80" s="229">
        <v>0</v>
      </c>
      <c r="J80" s="172">
        <f t="shared" si="40"/>
        <v>0</v>
      </c>
      <c r="K80" s="173"/>
    </row>
    <row r="81" spans="1:11" x14ac:dyDescent="0.35">
      <c r="A81" s="150" t="s">
        <v>299</v>
      </c>
      <c r="B81" s="150">
        <v>3</v>
      </c>
      <c r="C81" s="170">
        <v>757</v>
      </c>
      <c r="D81" s="170">
        <v>0</v>
      </c>
      <c r="E81" s="170">
        <v>563</v>
      </c>
      <c r="F81" s="170">
        <f t="shared" si="42"/>
        <v>62.555555555555557</v>
      </c>
      <c r="G81" s="170"/>
      <c r="H81" s="229">
        <v>0</v>
      </c>
      <c r="I81" s="229">
        <v>0</v>
      </c>
      <c r="J81" s="172">
        <f t="shared" si="40"/>
        <v>0</v>
      </c>
      <c r="K81" s="173"/>
    </row>
    <row r="82" spans="1:11" hidden="1" x14ac:dyDescent="0.35">
      <c r="A82" s="150" t="s">
        <v>64</v>
      </c>
      <c r="B82" s="150">
        <v>3</v>
      </c>
      <c r="C82" s="170">
        <v>0</v>
      </c>
      <c r="D82" s="170">
        <v>0</v>
      </c>
      <c r="E82" s="170">
        <f t="shared" si="38"/>
        <v>0</v>
      </c>
      <c r="F82" s="170">
        <f t="shared" si="42"/>
        <v>0</v>
      </c>
      <c r="G82" s="170"/>
      <c r="H82" s="229">
        <f t="shared" si="39"/>
        <v>0</v>
      </c>
      <c r="I82" s="229">
        <f t="shared" ref="I82" si="43">D82+H82</f>
        <v>0</v>
      </c>
      <c r="J82" s="172">
        <f t="shared" si="40"/>
        <v>0</v>
      </c>
    </row>
    <row r="83" spans="1:11" x14ac:dyDescent="0.35">
      <c r="A83" s="150" t="s">
        <v>26</v>
      </c>
      <c r="B83" s="150">
        <v>3</v>
      </c>
      <c r="C83" s="170">
        <f>3099+17</f>
        <v>3116</v>
      </c>
      <c r="D83" s="170">
        <v>1070</v>
      </c>
      <c r="E83" s="170">
        <v>1741</v>
      </c>
      <c r="F83" s="170">
        <f>E83/9</f>
        <v>193.44444444444446</v>
      </c>
      <c r="G83" s="170"/>
      <c r="H83" s="250">
        <f t="shared" si="39"/>
        <v>32.1</v>
      </c>
      <c r="I83" s="250">
        <v>0</v>
      </c>
      <c r="J83" s="177">
        <f t="shared" si="40"/>
        <v>0</v>
      </c>
      <c r="K83" s="173"/>
    </row>
    <row r="84" spans="1:11" x14ac:dyDescent="0.35">
      <c r="A84" s="150" t="s">
        <v>65</v>
      </c>
      <c r="B84" s="150">
        <v>3</v>
      </c>
      <c r="C84" s="175">
        <v>0</v>
      </c>
      <c r="D84" s="175">
        <f t="shared" si="37"/>
        <v>0</v>
      </c>
      <c r="E84" s="175">
        <f t="shared" si="38"/>
        <v>0</v>
      </c>
      <c r="F84" s="175">
        <f t="shared" ref="F84" si="44">E84/9</f>
        <v>0</v>
      </c>
      <c r="G84" s="170"/>
      <c r="H84" s="250">
        <f t="shared" si="39"/>
        <v>0</v>
      </c>
      <c r="I84" s="250">
        <v>0</v>
      </c>
      <c r="J84" s="177">
        <f t="shared" si="40"/>
        <v>0</v>
      </c>
    </row>
    <row r="85" spans="1:11" ht="21.75" thickBot="1" x14ac:dyDescent="0.4">
      <c r="A85" s="169" t="s">
        <v>94</v>
      </c>
      <c r="B85" s="150">
        <v>3</v>
      </c>
      <c r="C85" s="170">
        <f>SUM(C76:C84)</f>
        <v>30989</v>
      </c>
      <c r="D85" s="170">
        <f t="shared" ref="D85" si="45">SUM(D76:D84)</f>
        <v>1070</v>
      </c>
      <c r="E85" s="170">
        <f>SUM(E80:E84)</f>
        <v>4254</v>
      </c>
      <c r="F85" s="170">
        <f>SUM(F79:F84)</f>
        <v>472.66666666666669</v>
      </c>
      <c r="G85" s="170"/>
      <c r="H85" s="191">
        <f>SUM(H76:H84)</f>
        <v>32.1</v>
      </c>
      <c r="I85" s="191">
        <f>SUM(I79:I84)</f>
        <v>12000</v>
      </c>
      <c r="J85" s="192">
        <f t="shared" si="40"/>
        <v>1000</v>
      </c>
    </row>
    <row r="86" spans="1:11" x14ac:dyDescent="0.35">
      <c r="A86" s="150"/>
      <c r="B86" s="150"/>
      <c r="C86" s="150"/>
      <c r="D86" s="150"/>
      <c r="E86" s="150"/>
      <c r="F86" s="150"/>
      <c r="G86" s="150"/>
    </row>
  </sheetData>
  <mergeCells count="1">
    <mergeCell ref="I1:J1"/>
  </mergeCells>
  <pageMargins left="0.7" right="0.28000000000000003" top="0.62" bottom="0.47" header="0.3" footer="0.3"/>
  <pageSetup scale="42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9"/>
  <sheetViews>
    <sheetView zoomScale="80" zoomScaleNormal="80" workbookViewId="0">
      <pane xSplit="1" ySplit="4" topLeftCell="D44" activePane="bottomRight" state="frozen"/>
      <selection activeCell="I38" sqref="I38"/>
      <selection pane="topRight" activeCell="I38" sqref="I38"/>
      <selection pane="bottomLeft" activeCell="I38" sqref="I38"/>
      <selection pane="bottomRight" activeCell="A50" sqref="A50:XFD51"/>
    </sheetView>
  </sheetViews>
  <sheetFormatPr defaultRowHeight="21" x14ac:dyDescent="0.35"/>
  <cols>
    <col min="1" max="1" width="54.28515625" style="134" bestFit="1" customWidth="1"/>
    <col min="2" max="2" width="9.140625" style="134" hidden="1" customWidth="1"/>
    <col min="3" max="3" width="11.140625" style="134" hidden="1" customWidth="1"/>
    <col min="4" max="4" width="18.85546875" style="134" customWidth="1"/>
    <col min="5" max="5" width="20" style="134" bestFit="1" customWidth="1"/>
    <col min="6" max="6" width="9.140625" style="134" hidden="1" customWidth="1"/>
    <col min="7" max="7" width="16.7109375" style="134" customWidth="1"/>
    <col min="8" max="8" width="2.28515625" style="134" customWidth="1"/>
    <col min="9" max="9" width="33.5703125" style="134" customWidth="1"/>
    <col min="10" max="10" width="16.85546875" style="134" customWidth="1"/>
    <col min="11" max="11" width="56.5703125" style="134" bestFit="1" customWidth="1"/>
    <col min="12" max="12" width="12.140625" style="134" bestFit="1" customWidth="1"/>
    <col min="13" max="13" width="9.140625" style="134"/>
    <col min="14" max="14" width="9.42578125" style="134" bestFit="1" customWidth="1"/>
    <col min="15" max="16384" width="9.140625" style="134"/>
  </cols>
  <sheetData>
    <row r="1" spans="1:14" ht="18.75" customHeight="1" x14ac:dyDescent="0.35">
      <c r="I1" s="386" t="s">
        <v>476</v>
      </c>
      <c r="J1" s="387"/>
      <c r="K1" s="137"/>
    </row>
    <row r="2" spans="1:14" ht="15" customHeight="1" x14ac:dyDescent="0.35">
      <c r="I2" s="138" t="s">
        <v>395</v>
      </c>
      <c r="J2" s="139"/>
      <c r="K2" s="173" t="s">
        <v>605</v>
      </c>
    </row>
    <row r="3" spans="1:14" ht="21.75" thickBot="1" x14ac:dyDescent="0.4">
      <c r="A3" s="36" t="s">
        <v>475</v>
      </c>
      <c r="D3" s="36"/>
      <c r="I3" s="142"/>
      <c r="J3" s="139"/>
      <c r="K3" s="140"/>
      <c r="N3" s="161">
        <v>1.03</v>
      </c>
    </row>
    <row r="4" spans="1:14" ht="84.75" customHeight="1" thickBot="1" x14ac:dyDescent="0.4">
      <c r="A4" s="143" t="s">
        <v>77</v>
      </c>
      <c r="B4" s="143" t="s">
        <v>78</v>
      </c>
      <c r="C4" s="143" t="s">
        <v>79</v>
      </c>
      <c r="D4" s="144" t="s">
        <v>474</v>
      </c>
      <c r="E4" s="144" t="s">
        <v>473</v>
      </c>
      <c r="F4" s="144" t="s">
        <v>447</v>
      </c>
      <c r="G4" s="144" t="s">
        <v>546</v>
      </c>
      <c r="H4" s="252"/>
      <c r="I4" s="197" t="s">
        <v>430</v>
      </c>
      <c r="J4" s="147" t="s">
        <v>431</v>
      </c>
      <c r="K4" s="236"/>
      <c r="N4" s="36" t="s">
        <v>80</v>
      </c>
    </row>
    <row r="5" spans="1:14" x14ac:dyDescent="0.35">
      <c r="A5" s="150" t="s">
        <v>33</v>
      </c>
      <c r="B5" s="150">
        <v>3</v>
      </c>
      <c r="C5" s="170">
        <f>-423831-14</f>
        <v>-423845</v>
      </c>
      <c r="D5" s="141">
        <v>-150000</v>
      </c>
      <c r="E5" s="141">
        <v>-111320</v>
      </c>
      <c r="F5" s="237"/>
      <c r="G5" s="252">
        <f>E5/9</f>
        <v>-12368.888888888889</v>
      </c>
      <c r="H5" s="253"/>
      <c r="I5" s="237">
        <v>-150000</v>
      </c>
      <c r="J5" s="238">
        <f t="shared" ref="J5:J10" si="0">I5/12</f>
        <v>-12500</v>
      </c>
      <c r="L5" s="134">
        <f>SUM(E5)+(G5*3)*1.03</f>
        <v>-149539.86666666667</v>
      </c>
      <c r="N5" s="161">
        <v>0.05</v>
      </c>
    </row>
    <row r="6" spans="1:14" x14ac:dyDescent="0.35">
      <c r="A6" s="150" t="s">
        <v>34</v>
      </c>
      <c r="B6" s="150">
        <v>3</v>
      </c>
      <c r="C6" s="170">
        <f>10802+4</f>
        <v>10806</v>
      </c>
      <c r="D6" s="141">
        <v>3000</v>
      </c>
      <c r="E6" s="141">
        <v>360</v>
      </c>
      <c r="F6" s="223">
        <v>108.06</v>
      </c>
      <c r="G6" s="252">
        <f t="shared" ref="G6:G9" si="1">E6/9</f>
        <v>40</v>
      </c>
      <c r="H6" s="253"/>
      <c r="I6" s="223">
        <v>3000</v>
      </c>
      <c r="J6" s="224">
        <f t="shared" si="0"/>
        <v>250</v>
      </c>
      <c r="K6" s="173" t="s">
        <v>555</v>
      </c>
      <c r="L6" s="134">
        <f>SUM(I5)*0.02</f>
        <v>-3000</v>
      </c>
      <c r="N6" s="36" t="s">
        <v>396</v>
      </c>
    </row>
    <row r="7" spans="1:14" x14ac:dyDescent="0.35">
      <c r="A7" s="150" t="s">
        <v>35</v>
      </c>
      <c r="B7" s="150">
        <v>3</v>
      </c>
      <c r="C7" s="170">
        <f>-45-12</f>
        <v>-57</v>
      </c>
      <c r="D7" s="141">
        <v>-20</v>
      </c>
      <c r="E7" s="141">
        <v>-16</v>
      </c>
      <c r="F7" s="223">
        <v>-0.56999999999999995</v>
      </c>
      <c r="G7" s="252">
        <f t="shared" si="1"/>
        <v>-1.7777777777777777</v>
      </c>
      <c r="H7" s="252"/>
      <c r="I7" s="223">
        <v>-19.57</v>
      </c>
      <c r="J7" s="224">
        <f t="shared" si="0"/>
        <v>-1.6308333333333334</v>
      </c>
      <c r="L7" s="134">
        <f t="shared" ref="L7:L10" si="2">SUM(E7)+(G7*3)*1.03</f>
        <v>-21.493333333333332</v>
      </c>
      <c r="N7" s="161">
        <v>0.03</v>
      </c>
    </row>
    <row r="8" spans="1:14" x14ac:dyDescent="0.35">
      <c r="A8" s="150" t="s">
        <v>36</v>
      </c>
      <c r="B8" s="150">
        <v>3</v>
      </c>
      <c r="C8" s="170">
        <f>-2093-5</f>
        <v>-2098</v>
      </c>
      <c r="D8" s="141">
        <v>-1600</v>
      </c>
      <c r="E8" s="141">
        <v>-1620</v>
      </c>
      <c r="F8" s="223">
        <v>-20.98</v>
      </c>
      <c r="G8" s="252">
        <f t="shared" si="1"/>
        <v>-180</v>
      </c>
      <c r="H8" s="252"/>
      <c r="I8" s="223">
        <v>-2180</v>
      </c>
      <c r="J8" s="224">
        <f t="shared" si="0"/>
        <v>-181.66666666666666</v>
      </c>
      <c r="L8" s="134">
        <f t="shared" si="2"/>
        <v>-2176.1999999999998</v>
      </c>
    </row>
    <row r="9" spans="1:14" x14ac:dyDescent="0.35">
      <c r="A9" s="150" t="s">
        <v>247</v>
      </c>
      <c r="B9" s="150">
        <v>3</v>
      </c>
      <c r="C9" s="170">
        <f>-2077-19</f>
        <v>-2096</v>
      </c>
      <c r="D9" s="141">
        <v>-990</v>
      </c>
      <c r="E9" s="141">
        <v>-662</v>
      </c>
      <c r="F9" s="223">
        <f>D9*$N$38</f>
        <v>-49.5</v>
      </c>
      <c r="G9" s="252">
        <f t="shared" si="1"/>
        <v>-73.555555555555557</v>
      </c>
      <c r="H9" s="252"/>
      <c r="I9" s="223">
        <v>-900</v>
      </c>
      <c r="J9" s="224">
        <f t="shared" si="0"/>
        <v>-75</v>
      </c>
      <c r="L9" s="134">
        <f t="shared" si="2"/>
        <v>-889.28666666666663</v>
      </c>
    </row>
    <row r="10" spans="1:14" x14ac:dyDescent="0.35">
      <c r="A10" s="150" t="s">
        <v>248</v>
      </c>
      <c r="B10" s="150">
        <v>3</v>
      </c>
      <c r="C10" s="175">
        <f>-1312</f>
        <v>-1312</v>
      </c>
      <c r="D10" s="164">
        <v>-530</v>
      </c>
      <c r="E10" s="164">
        <v>-2163</v>
      </c>
      <c r="F10" s="240">
        <f>D10*$N$38</f>
        <v>-26.5</v>
      </c>
      <c r="G10" s="254">
        <f>E10/9</f>
        <v>-240.33333333333334</v>
      </c>
      <c r="H10" s="253"/>
      <c r="I10" s="240">
        <v>-540</v>
      </c>
      <c r="J10" s="241">
        <f t="shared" si="0"/>
        <v>-45</v>
      </c>
      <c r="L10" s="134">
        <f t="shared" si="2"/>
        <v>-2905.63</v>
      </c>
    </row>
    <row r="11" spans="1:14" x14ac:dyDescent="0.35">
      <c r="A11" s="150" t="s">
        <v>81</v>
      </c>
      <c r="B11" s="150"/>
      <c r="C11" s="170">
        <f>SUM(C5:C10)</f>
        <v>-418602</v>
      </c>
      <c r="D11" s="141">
        <f t="shared" ref="D11:J11" si="3">SUM(D5:D10)</f>
        <v>-150140</v>
      </c>
      <c r="E11" s="141">
        <f t="shared" si="3"/>
        <v>-115421</v>
      </c>
      <c r="F11" s="155">
        <f t="shared" si="3"/>
        <v>10.510000000000005</v>
      </c>
      <c r="G11" s="141">
        <f>SUM(G5:G10)</f>
        <v>-12824.555555555555</v>
      </c>
      <c r="H11" s="253"/>
      <c r="I11" s="155">
        <f t="shared" si="3"/>
        <v>-150639.57</v>
      </c>
      <c r="J11" s="156">
        <f t="shared" si="3"/>
        <v>-12553.297499999999</v>
      </c>
      <c r="K11" s="173"/>
    </row>
    <row r="12" spans="1:14" x14ac:dyDescent="0.35">
      <c r="A12" s="150"/>
      <c r="B12" s="150"/>
      <c r="C12" s="227"/>
      <c r="D12" s="141"/>
      <c r="E12" s="141"/>
      <c r="F12" s="223"/>
      <c r="G12" s="252"/>
      <c r="H12" s="252"/>
      <c r="I12" s="223"/>
      <c r="J12" s="224"/>
      <c r="K12" s="255"/>
    </row>
    <row r="13" spans="1:14" x14ac:dyDescent="0.35">
      <c r="A13" s="150" t="s">
        <v>82</v>
      </c>
      <c r="B13" s="150"/>
      <c r="C13" s="170">
        <f>C34</f>
        <v>38896</v>
      </c>
      <c r="D13" s="141">
        <f>D34</f>
        <v>16580</v>
      </c>
      <c r="E13" s="141">
        <f>E34</f>
        <v>11011</v>
      </c>
      <c r="F13" s="242">
        <f>F34</f>
        <v>647.6</v>
      </c>
      <c r="G13" s="256">
        <f>E13/9</f>
        <v>1223.4444444444443</v>
      </c>
      <c r="H13" s="256"/>
      <c r="I13" s="242">
        <f>I34</f>
        <v>15850</v>
      </c>
      <c r="J13" s="243">
        <f t="shared" ref="J13:J17" si="4">I13/12</f>
        <v>1320.8333333333333</v>
      </c>
      <c r="K13" s="178"/>
      <c r="L13" s="208"/>
    </row>
    <row r="14" spans="1:14" x14ac:dyDescent="0.35">
      <c r="A14" s="150" t="s">
        <v>249</v>
      </c>
      <c r="B14" s="150"/>
      <c r="C14" s="170">
        <f>C41</f>
        <v>40761.069999999992</v>
      </c>
      <c r="D14" s="141">
        <f t="shared" ref="D14:E14" si="5">D41</f>
        <v>14790</v>
      </c>
      <c r="E14" s="141">
        <f t="shared" si="5"/>
        <v>7190</v>
      </c>
      <c r="F14" s="242">
        <f>F41</f>
        <v>807.1</v>
      </c>
      <c r="G14" s="256">
        <f t="shared" ref="G14:G17" si="6">E14/9</f>
        <v>798.88888888888891</v>
      </c>
      <c r="H14" s="256"/>
      <c r="I14" s="242">
        <f>I41</f>
        <v>9880</v>
      </c>
      <c r="J14" s="243">
        <f t="shared" si="4"/>
        <v>823.33333333333337</v>
      </c>
      <c r="K14" s="178"/>
    </row>
    <row r="15" spans="1:14" x14ac:dyDescent="0.35">
      <c r="A15" s="150" t="s">
        <v>95</v>
      </c>
      <c r="B15" s="150"/>
      <c r="C15" s="170">
        <f>C55</f>
        <v>85862.87000000001</v>
      </c>
      <c r="D15" s="141">
        <f t="shared" ref="D15:E15" si="7">D55</f>
        <v>41640</v>
      </c>
      <c r="E15" s="141">
        <f t="shared" si="7"/>
        <v>22291</v>
      </c>
      <c r="F15" s="242">
        <f>D15*$N$7</f>
        <v>1249.2</v>
      </c>
      <c r="G15" s="256">
        <f t="shared" si="6"/>
        <v>2476.7777777777778</v>
      </c>
      <c r="H15" s="256"/>
      <c r="I15" s="242">
        <f>I55</f>
        <v>36490</v>
      </c>
      <c r="J15" s="243">
        <f t="shared" si="4"/>
        <v>3040.8333333333335</v>
      </c>
      <c r="K15" s="178"/>
    </row>
    <row r="16" spans="1:14" x14ac:dyDescent="0.35">
      <c r="A16" s="150" t="s">
        <v>83</v>
      </c>
      <c r="B16" s="150"/>
      <c r="C16" s="170">
        <f>C64</f>
        <v>140228.25</v>
      </c>
      <c r="D16" s="141">
        <f>D64</f>
        <v>52080</v>
      </c>
      <c r="E16" s="141">
        <f t="shared" ref="E16" si="8">E64</f>
        <v>39202</v>
      </c>
      <c r="F16" s="242">
        <f>F64</f>
        <v>224.2</v>
      </c>
      <c r="G16" s="256">
        <f t="shared" si="6"/>
        <v>4355.7777777777774</v>
      </c>
      <c r="H16" s="256"/>
      <c r="I16" s="242">
        <f>I64</f>
        <v>57120</v>
      </c>
      <c r="J16" s="243">
        <f t="shared" si="4"/>
        <v>4760</v>
      </c>
      <c r="K16" s="178"/>
    </row>
    <row r="17" spans="1:12" x14ac:dyDescent="0.35">
      <c r="A17" s="150" t="s">
        <v>84</v>
      </c>
      <c r="B17" s="150"/>
      <c r="C17" s="170">
        <f>C68</f>
        <v>18697</v>
      </c>
      <c r="D17" s="141">
        <f>D68</f>
        <v>6300</v>
      </c>
      <c r="E17" s="141">
        <f>E68</f>
        <v>4725</v>
      </c>
      <c r="F17" s="242"/>
      <c r="G17" s="256">
        <f t="shared" si="6"/>
        <v>525</v>
      </c>
      <c r="H17" s="253"/>
      <c r="I17" s="242">
        <f t="shared" ref="I17" si="9">D17+F17</f>
        <v>6300</v>
      </c>
      <c r="J17" s="243">
        <f t="shared" si="4"/>
        <v>525</v>
      </c>
      <c r="K17" s="178"/>
    </row>
    <row r="18" spans="1:12" x14ac:dyDescent="0.35">
      <c r="A18" s="150" t="s">
        <v>85</v>
      </c>
      <c r="B18" s="211"/>
      <c r="C18" s="175">
        <f t="shared" ref="C18:J18" si="10">C79</f>
        <v>25631</v>
      </c>
      <c r="D18" s="164">
        <f t="shared" si="10"/>
        <v>51700</v>
      </c>
      <c r="E18" s="164">
        <f t="shared" si="10"/>
        <v>44675</v>
      </c>
      <c r="F18" s="257"/>
      <c r="G18" s="258">
        <f>E18/9</f>
        <v>4963.8888888888887</v>
      </c>
      <c r="H18" s="253"/>
      <c r="I18" s="257">
        <f t="shared" si="10"/>
        <v>39800</v>
      </c>
      <c r="J18" s="259">
        <f t="shared" si="10"/>
        <v>3316.6666666666665</v>
      </c>
      <c r="K18" s="178"/>
    </row>
    <row r="19" spans="1:12" x14ac:dyDescent="0.35">
      <c r="A19" s="150" t="s">
        <v>86</v>
      </c>
      <c r="B19" s="150"/>
      <c r="C19" s="170">
        <f t="shared" ref="C19:J19" si="11">SUM(C13:C18)</f>
        <v>350076.19</v>
      </c>
      <c r="D19" s="141">
        <f t="shared" si="11"/>
        <v>183090</v>
      </c>
      <c r="E19" s="141">
        <f t="shared" si="11"/>
        <v>129094</v>
      </c>
      <c r="F19" s="260">
        <f t="shared" si="11"/>
        <v>2928.1</v>
      </c>
      <c r="G19" s="261">
        <f>SUM(G13:G18)</f>
        <v>14343.777777777777</v>
      </c>
      <c r="H19" s="261"/>
      <c r="I19" s="242">
        <f t="shared" si="11"/>
        <v>165440</v>
      </c>
      <c r="J19" s="156">
        <f t="shared" si="11"/>
        <v>13786.666666666666</v>
      </c>
      <c r="K19" s="178"/>
    </row>
    <row r="20" spans="1:12" x14ac:dyDescent="0.35">
      <c r="A20" s="150"/>
      <c r="B20" s="150"/>
      <c r="C20" s="170"/>
      <c r="D20" s="141"/>
      <c r="E20" s="141"/>
      <c r="F20" s="260"/>
      <c r="G20" s="261"/>
      <c r="H20" s="261"/>
      <c r="I20" s="242"/>
      <c r="J20" s="156"/>
      <c r="K20" s="178"/>
    </row>
    <row r="21" spans="1:12" ht="21.75" thickBot="1" x14ac:dyDescent="0.4">
      <c r="A21" s="247" t="s">
        <v>87</v>
      </c>
      <c r="B21" s="248"/>
      <c r="C21" s="249">
        <f>SUM(-C11-C19)</f>
        <v>68525.81</v>
      </c>
      <c r="D21" s="185">
        <f>SUM(D11+D19)</f>
        <v>32950</v>
      </c>
      <c r="E21" s="185">
        <f t="shared" ref="E21:G21" si="12">SUM(E11+E19)</f>
        <v>13673</v>
      </c>
      <c r="F21" s="185">
        <f t="shared" si="12"/>
        <v>2938.61</v>
      </c>
      <c r="G21" s="185">
        <f t="shared" si="12"/>
        <v>1519.2222222222226</v>
      </c>
      <c r="I21" s="186">
        <f>SUM(I11+I19)</f>
        <v>14800.429999999993</v>
      </c>
      <c r="J21" s="187">
        <f>SUM(J11+J19)</f>
        <v>1233.3691666666673</v>
      </c>
      <c r="K21" s="161"/>
    </row>
    <row r="22" spans="1:12" x14ac:dyDescent="0.35">
      <c r="A22" s="169" t="s">
        <v>454</v>
      </c>
      <c r="B22" s="150"/>
      <c r="C22" s="227"/>
      <c r="D22" s="262"/>
      <c r="E22" s="262"/>
      <c r="F22" s="263"/>
      <c r="G22" s="264"/>
      <c r="H22" s="264"/>
      <c r="I22" s="223"/>
      <c r="J22" s="265"/>
      <c r="K22" s="161"/>
    </row>
    <row r="23" spans="1:12" x14ac:dyDescent="0.35">
      <c r="A23" s="150" t="s">
        <v>39</v>
      </c>
      <c r="B23" s="150">
        <v>3</v>
      </c>
      <c r="C23" s="170">
        <f>5607+7033</f>
        <v>12640</v>
      </c>
      <c r="D23" s="170">
        <v>6000</v>
      </c>
      <c r="E23" s="170">
        <v>3770</v>
      </c>
      <c r="F23" s="229">
        <f>D23*$N$7</f>
        <v>180</v>
      </c>
      <c r="G23" s="253">
        <f>E23/9</f>
        <v>418.88888888888891</v>
      </c>
      <c r="H23" s="253"/>
      <c r="I23" s="229">
        <v>5060</v>
      </c>
      <c r="J23" s="234">
        <f t="shared" ref="J23:J33" si="13">I23/12</f>
        <v>421.66666666666669</v>
      </c>
      <c r="K23" s="173" t="s">
        <v>449</v>
      </c>
      <c r="L23" s="134">
        <f>SUM(E23)+(G23*3)*1.03</f>
        <v>5064.3666666666668</v>
      </c>
    </row>
    <row r="24" spans="1:12" x14ac:dyDescent="0.35">
      <c r="A24" s="150" t="s">
        <v>40</v>
      </c>
      <c r="B24" s="150">
        <v>3</v>
      </c>
      <c r="C24" s="170">
        <f>536-11</f>
        <v>525</v>
      </c>
      <c r="D24" s="170">
        <v>250</v>
      </c>
      <c r="E24" s="170">
        <v>1</v>
      </c>
      <c r="F24" s="229">
        <f>D24*$N$7</f>
        <v>7.5</v>
      </c>
      <c r="G24" s="253">
        <f t="shared" ref="G24:G32" si="14">E24/9</f>
        <v>0.1111111111111111</v>
      </c>
      <c r="H24" s="253"/>
      <c r="I24" s="229">
        <v>150</v>
      </c>
      <c r="J24" s="234">
        <f t="shared" si="13"/>
        <v>12.5</v>
      </c>
      <c r="L24" s="134">
        <f t="shared" ref="L24:L33" si="15">SUM(E24)+(G24*3)*1.03</f>
        <v>1.3433333333333333</v>
      </c>
    </row>
    <row r="25" spans="1:12" x14ac:dyDescent="0.35">
      <c r="A25" s="150" t="s">
        <v>41</v>
      </c>
      <c r="B25" s="150">
        <v>3</v>
      </c>
      <c r="C25" s="170">
        <f>184-9</f>
        <v>175</v>
      </c>
      <c r="D25" s="170">
        <v>230</v>
      </c>
      <c r="E25" s="170">
        <v>123</v>
      </c>
      <c r="F25" s="229">
        <f>D25*$N$7</f>
        <v>6.8999999999999995</v>
      </c>
      <c r="G25" s="253">
        <f t="shared" si="14"/>
        <v>13.666666666666666</v>
      </c>
      <c r="H25" s="253"/>
      <c r="I25" s="229">
        <v>160</v>
      </c>
      <c r="J25" s="234">
        <f t="shared" si="13"/>
        <v>13.333333333333334</v>
      </c>
      <c r="L25" s="134">
        <f t="shared" si="15"/>
        <v>165.23000000000002</v>
      </c>
    </row>
    <row r="26" spans="1:12" x14ac:dyDescent="0.35">
      <c r="A26" s="150" t="s">
        <v>528</v>
      </c>
      <c r="B26" s="150">
        <v>3</v>
      </c>
      <c r="C26" s="170">
        <f>63+83</f>
        <v>146</v>
      </c>
      <c r="D26" s="170">
        <v>50</v>
      </c>
      <c r="E26" s="170">
        <v>0</v>
      </c>
      <c r="F26" s="229">
        <f>D26*$N$7</f>
        <v>1.5</v>
      </c>
      <c r="G26" s="253">
        <f t="shared" si="14"/>
        <v>0</v>
      </c>
      <c r="H26" s="253"/>
      <c r="I26" s="229">
        <v>50</v>
      </c>
      <c r="J26" s="234">
        <f t="shared" si="13"/>
        <v>4.166666666666667</v>
      </c>
      <c r="L26" s="134">
        <f t="shared" si="15"/>
        <v>0</v>
      </c>
    </row>
    <row r="27" spans="1:12" x14ac:dyDescent="0.35">
      <c r="A27" s="150" t="s">
        <v>252</v>
      </c>
      <c r="B27" s="150">
        <v>3</v>
      </c>
      <c r="C27" s="170">
        <f>20976-2061</f>
        <v>18915</v>
      </c>
      <c r="D27" s="170">
        <v>7510</v>
      </c>
      <c r="E27" s="170">
        <v>5767</v>
      </c>
      <c r="F27" s="229">
        <f>D27*$N$5</f>
        <v>375.5</v>
      </c>
      <c r="G27" s="253">
        <f t="shared" si="14"/>
        <v>640.77777777777783</v>
      </c>
      <c r="H27" s="253"/>
      <c r="I27" s="229">
        <v>7530</v>
      </c>
      <c r="J27" s="234">
        <f t="shared" si="13"/>
        <v>627.5</v>
      </c>
      <c r="K27" s="213" t="s">
        <v>639</v>
      </c>
      <c r="L27" s="134">
        <f>(I11-I7)*(1)*0.05</f>
        <v>-7531</v>
      </c>
    </row>
    <row r="28" spans="1:12" x14ac:dyDescent="0.35">
      <c r="A28" s="150" t="s">
        <v>253</v>
      </c>
      <c r="B28" s="150">
        <v>3</v>
      </c>
      <c r="C28" s="170">
        <f>235-2</f>
        <v>233</v>
      </c>
      <c r="D28" s="170">
        <v>250</v>
      </c>
      <c r="E28" s="170">
        <v>0</v>
      </c>
      <c r="F28" s="229">
        <f t="shared" ref="F28:F33" si="16">D28*$N$7</f>
        <v>7.5</v>
      </c>
      <c r="G28" s="253">
        <f t="shared" si="14"/>
        <v>0</v>
      </c>
      <c r="H28" s="253"/>
      <c r="I28" s="229">
        <v>150</v>
      </c>
      <c r="J28" s="234">
        <f t="shared" si="13"/>
        <v>12.5</v>
      </c>
      <c r="L28" s="134">
        <f t="shared" si="15"/>
        <v>0</v>
      </c>
    </row>
    <row r="29" spans="1:12" x14ac:dyDescent="0.35">
      <c r="A29" s="150" t="s">
        <v>43</v>
      </c>
      <c r="B29" s="150">
        <v>3</v>
      </c>
      <c r="C29" s="170">
        <f>1818-12</f>
        <v>1806</v>
      </c>
      <c r="D29" s="170">
        <v>760</v>
      </c>
      <c r="E29" s="170">
        <v>387</v>
      </c>
      <c r="F29" s="229">
        <f t="shared" si="16"/>
        <v>22.8</v>
      </c>
      <c r="G29" s="253">
        <f t="shared" si="14"/>
        <v>43</v>
      </c>
      <c r="H29" s="253"/>
      <c r="I29" s="229">
        <v>520</v>
      </c>
      <c r="J29" s="234">
        <f t="shared" si="13"/>
        <v>43.333333333333336</v>
      </c>
      <c r="L29" s="134">
        <f t="shared" si="15"/>
        <v>519.87</v>
      </c>
    </row>
    <row r="30" spans="1:12" x14ac:dyDescent="0.35">
      <c r="A30" s="150" t="s">
        <v>44</v>
      </c>
      <c r="B30" s="150">
        <v>3</v>
      </c>
      <c r="C30" s="170">
        <f>1799+6</f>
        <v>1805</v>
      </c>
      <c r="D30" s="170">
        <v>600</v>
      </c>
      <c r="E30" s="170">
        <v>520</v>
      </c>
      <c r="F30" s="229">
        <f t="shared" si="16"/>
        <v>18</v>
      </c>
      <c r="G30" s="253">
        <f t="shared" si="14"/>
        <v>57.777777777777779</v>
      </c>
      <c r="H30" s="253"/>
      <c r="I30" s="229">
        <v>700</v>
      </c>
      <c r="J30" s="234">
        <f t="shared" si="13"/>
        <v>58.333333333333336</v>
      </c>
      <c r="L30" s="134">
        <f t="shared" si="15"/>
        <v>698.5333333333333</v>
      </c>
    </row>
    <row r="31" spans="1:12" ht="42" x14ac:dyDescent="0.35">
      <c r="A31" s="150" t="s">
        <v>45</v>
      </c>
      <c r="B31" s="150">
        <v>3</v>
      </c>
      <c r="C31" s="170">
        <f>929+4</f>
        <v>933</v>
      </c>
      <c r="D31" s="170">
        <v>340</v>
      </c>
      <c r="E31" s="170">
        <v>198</v>
      </c>
      <c r="F31" s="229">
        <f t="shared" si="16"/>
        <v>10.199999999999999</v>
      </c>
      <c r="G31" s="253">
        <f t="shared" si="14"/>
        <v>22</v>
      </c>
      <c r="H31" s="253"/>
      <c r="I31" s="229">
        <f>270+830</f>
        <v>1100</v>
      </c>
      <c r="J31" s="234">
        <f t="shared" si="13"/>
        <v>91.666666666666671</v>
      </c>
      <c r="K31" s="173" t="s">
        <v>652</v>
      </c>
      <c r="L31" s="134">
        <f t="shared" si="15"/>
        <v>265.98</v>
      </c>
    </row>
    <row r="32" spans="1:12" x14ac:dyDescent="0.35">
      <c r="A32" s="150" t="s">
        <v>254</v>
      </c>
      <c r="B32" s="150">
        <v>3</v>
      </c>
      <c r="C32" s="170">
        <f>921+12</f>
        <v>933</v>
      </c>
      <c r="D32" s="170">
        <v>200</v>
      </c>
      <c r="E32" s="170">
        <v>0</v>
      </c>
      <c r="F32" s="229">
        <f t="shared" si="16"/>
        <v>6</v>
      </c>
      <c r="G32" s="253">
        <f t="shared" si="14"/>
        <v>0</v>
      </c>
      <c r="H32" s="253"/>
      <c r="I32" s="229">
        <v>100</v>
      </c>
      <c r="J32" s="234">
        <f t="shared" si="13"/>
        <v>8.3333333333333339</v>
      </c>
      <c r="L32" s="134">
        <f t="shared" si="15"/>
        <v>0</v>
      </c>
    </row>
    <row r="33" spans="1:14" x14ac:dyDescent="0.35">
      <c r="A33" s="150" t="s">
        <v>46</v>
      </c>
      <c r="B33" s="150">
        <v>3</v>
      </c>
      <c r="C33" s="175">
        <f>778+7</f>
        <v>785</v>
      </c>
      <c r="D33" s="175">
        <v>390</v>
      </c>
      <c r="E33" s="175">
        <v>245</v>
      </c>
      <c r="F33" s="250">
        <f t="shared" si="16"/>
        <v>11.7</v>
      </c>
      <c r="G33" s="266">
        <f>E33/9</f>
        <v>27.222222222222221</v>
      </c>
      <c r="H33" s="253"/>
      <c r="I33" s="250">
        <v>330</v>
      </c>
      <c r="J33" s="251">
        <f t="shared" si="13"/>
        <v>27.5</v>
      </c>
      <c r="L33" s="134">
        <f t="shared" si="15"/>
        <v>329.11666666666667</v>
      </c>
    </row>
    <row r="34" spans="1:14" x14ac:dyDescent="0.35">
      <c r="A34" s="169" t="s">
        <v>88</v>
      </c>
      <c r="B34" s="150"/>
      <c r="C34" s="170">
        <f>SUM(C23:C33)</f>
        <v>38896</v>
      </c>
      <c r="D34" s="170">
        <f t="shared" ref="D34:E34" si="17">SUM(D23:D33)</f>
        <v>16580</v>
      </c>
      <c r="E34" s="170">
        <f t="shared" si="17"/>
        <v>11011</v>
      </c>
      <c r="F34" s="228">
        <f>SUM(F23:F33)</f>
        <v>647.6</v>
      </c>
      <c r="G34" s="267">
        <f>SUM(G23:G33)</f>
        <v>1223.4444444444446</v>
      </c>
      <c r="H34" s="267"/>
      <c r="I34" s="228">
        <f t="shared" ref="I34:J34" si="18">SUM(I23:I33)</f>
        <v>15850</v>
      </c>
      <c r="J34" s="231">
        <f t="shared" si="18"/>
        <v>1320.8333333333333</v>
      </c>
    </row>
    <row r="35" spans="1:14" x14ac:dyDescent="0.35">
      <c r="A35" s="169"/>
      <c r="B35" s="150"/>
      <c r="C35" s="170"/>
      <c r="D35" s="170"/>
      <c r="E35" s="170"/>
      <c r="F35" s="228"/>
      <c r="G35" s="267"/>
      <c r="H35" s="267"/>
      <c r="I35" s="228"/>
      <c r="J35" s="231"/>
    </row>
    <row r="36" spans="1:14" x14ac:dyDescent="0.35">
      <c r="A36" s="169" t="s">
        <v>455</v>
      </c>
      <c r="B36" s="150"/>
      <c r="C36" s="170"/>
      <c r="D36" s="170"/>
      <c r="E36" s="170"/>
      <c r="F36" s="228"/>
      <c r="G36" s="267"/>
      <c r="H36" s="267"/>
      <c r="I36" s="228"/>
      <c r="J36" s="230"/>
    </row>
    <row r="37" spans="1:14" x14ac:dyDescent="0.35">
      <c r="A37" s="150" t="s">
        <v>227</v>
      </c>
      <c r="B37" s="150">
        <v>3</v>
      </c>
      <c r="C37" s="170">
        <f>4015.39+863</f>
        <v>4878.3899999999994</v>
      </c>
      <c r="D37" s="170">
        <v>1740</v>
      </c>
      <c r="E37" s="170">
        <v>758</v>
      </c>
      <c r="F37" s="229">
        <f>D37*$N$37</f>
        <v>121.80000000000001</v>
      </c>
      <c r="G37" s="253">
        <f>E37/9</f>
        <v>84.222222222222229</v>
      </c>
      <c r="H37" s="253"/>
      <c r="I37" s="229">
        <v>1050</v>
      </c>
      <c r="J37" s="234">
        <f t="shared" ref="J37:J40" si="19">I37/12</f>
        <v>87.5</v>
      </c>
      <c r="K37" s="173" t="s">
        <v>530</v>
      </c>
      <c r="N37" s="188">
        <v>7.0000000000000007E-2</v>
      </c>
    </row>
    <row r="38" spans="1:14" x14ac:dyDescent="0.35">
      <c r="A38" s="150" t="s">
        <v>47</v>
      </c>
      <c r="B38" s="150">
        <v>3</v>
      </c>
      <c r="C38" s="170">
        <f>15753.63+503</f>
        <v>16256.63</v>
      </c>
      <c r="D38" s="170">
        <v>5820</v>
      </c>
      <c r="E38" s="170">
        <v>2413</v>
      </c>
      <c r="F38" s="229">
        <f>D38*$N$38</f>
        <v>291</v>
      </c>
      <c r="G38" s="253">
        <f t="shared" ref="G38:G39" si="20">E38/9</f>
        <v>268.11111111111109</v>
      </c>
      <c r="H38" s="253"/>
      <c r="I38" s="229">
        <v>3420</v>
      </c>
      <c r="J38" s="234">
        <f t="shared" si="19"/>
        <v>285</v>
      </c>
      <c r="K38" s="173" t="s">
        <v>531</v>
      </c>
      <c r="L38" s="134">
        <f>SUM((E38+(F38*3))*1.04)</f>
        <v>3417.44</v>
      </c>
      <c r="N38" s="188">
        <v>0.05</v>
      </c>
    </row>
    <row r="39" spans="1:14" x14ac:dyDescent="0.35">
      <c r="A39" s="150" t="s">
        <v>48</v>
      </c>
      <c r="B39" s="150">
        <v>3</v>
      </c>
      <c r="C39" s="170">
        <f>4593.05+5</f>
        <v>4598.05</v>
      </c>
      <c r="D39" s="170">
        <v>1640</v>
      </c>
      <c r="E39" s="170">
        <v>365</v>
      </c>
      <c r="F39" s="229">
        <f>D39*$N$39</f>
        <v>114.80000000000001</v>
      </c>
      <c r="G39" s="253">
        <f t="shared" si="20"/>
        <v>40.555555555555557</v>
      </c>
      <c r="H39" s="253"/>
      <c r="I39" s="229">
        <v>740</v>
      </c>
      <c r="J39" s="234">
        <f t="shared" si="19"/>
        <v>61.666666666666664</v>
      </c>
      <c r="K39" s="173" t="s">
        <v>590</v>
      </c>
      <c r="L39" s="134">
        <f>SUM((E39+(F39*3))*1.05)</f>
        <v>744.87000000000012</v>
      </c>
      <c r="N39" s="188">
        <v>7.0000000000000007E-2</v>
      </c>
    </row>
    <row r="40" spans="1:14" x14ac:dyDescent="0.35">
      <c r="A40" s="150" t="s">
        <v>49</v>
      </c>
      <c r="B40" s="150">
        <v>3</v>
      </c>
      <c r="C40" s="175">
        <f>12018+3010</f>
        <v>15028</v>
      </c>
      <c r="D40" s="175">
        <v>5590</v>
      </c>
      <c r="E40" s="175">
        <v>3654</v>
      </c>
      <c r="F40" s="250">
        <f>D40*$N$40</f>
        <v>279.5</v>
      </c>
      <c r="G40" s="266">
        <f>E40/9</f>
        <v>406</v>
      </c>
      <c r="H40" s="253"/>
      <c r="I40" s="250">
        <v>4670</v>
      </c>
      <c r="J40" s="251">
        <f t="shared" si="19"/>
        <v>389.16666666666669</v>
      </c>
      <c r="K40" s="173" t="s">
        <v>531</v>
      </c>
      <c r="L40" s="134">
        <f>SUM((E40+(F40*3))*1.04)</f>
        <v>4672.2</v>
      </c>
      <c r="N40" s="188">
        <v>0.05</v>
      </c>
    </row>
    <row r="41" spans="1:14" x14ac:dyDescent="0.35">
      <c r="A41" s="169" t="s">
        <v>89</v>
      </c>
      <c r="B41" s="150"/>
      <c r="C41" s="170">
        <f>SUM(C37:C40)</f>
        <v>40761.069999999992</v>
      </c>
      <c r="D41" s="170">
        <f>SUM(D37:D40)</f>
        <v>14790</v>
      </c>
      <c r="E41" s="170">
        <f>SUM(E37:E40)</f>
        <v>7190</v>
      </c>
      <c r="F41" s="228">
        <f>SUM(F37:F40)</f>
        <v>807.1</v>
      </c>
      <c r="G41" s="267">
        <f>SUM(G37:G40)</f>
        <v>798.88888888888891</v>
      </c>
      <c r="H41" s="267"/>
      <c r="I41" s="228">
        <f t="shared" ref="I41:J41" si="21">SUM(I37:I40)</f>
        <v>9880</v>
      </c>
      <c r="J41" s="231">
        <f t="shared" si="21"/>
        <v>823.33333333333337</v>
      </c>
    </row>
    <row r="42" spans="1:14" x14ac:dyDescent="0.35">
      <c r="A42" s="169"/>
      <c r="B42" s="150"/>
      <c r="C42" s="227"/>
      <c r="D42" s="227"/>
      <c r="E42" s="227"/>
      <c r="F42" s="228"/>
      <c r="G42" s="267"/>
      <c r="H42" s="267"/>
      <c r="I42" s="229"/>
      <c r="J42" s="230"/>
    </row>
    <row r="43" spans="1:14" x14ac:dyDescent="0.35">
      <c r="A43" s="169" t="s">
        <v>456</v>
      </c>
      <c r="B43" s="150"/>
      <c r="C43" s="227"/>
      <c r="D43" s="227"/>
      <c r="E43" s="227"/>
      <c r="F43" s="228"/>
      <c r="G43" s="267"/>
      <c r="H43" s="267"/>
      <c r="I43" s="229"/>
      <c r="J43" s="230"/>
    </row>
    <row r="44" spans="1:14" x14ac:dyDescent="0.35">
      <c r="A44" s="150" t="s">
        <v>255</v>
      </c>
      <c r="B44" s="150">
        <v>3</v>
      </c>
      <c r="C44" s="170">
        <f>1560+361</f>
        <v>1921</v>
      </c>
      <c r="D44" s="170">
        <v>420</v>
      </c>
      <c r="E44" s="170">
        <v>200</v>
      </c>
      <c r="F44" s="229">
        <f t="shared" ref="F44:F54" si="22">D44*$N$7</f>
        <v>12.6</v>
      </c>
      <c r="G44" s="253">
        <f>E44/9</f>
        <v>22.222222222222221</v>
      </c>
      <c r="H44" s="253"/>
      <c r="I44" s="229">
        <v>270</v>
      </c>
      <c r="J44" s="234">
        <f t="shared" ref="J44:J54" si="23">I44/12</f>
        <v>22.5</v>
      </c>
      <c r="L44" s="134">
        <f t="shared" ref="L44:L54" si="24">SUM(E44)+(G44*3)*1.03</f>
        <v>268.66666666666663</v>
      </c>
    </row>
    <row r="45" spans="1:14" x14ac:dyDescent="0.35">
      <c r="A45" s="150" t="s">
        <v>256</v>
      </c>
      <c r="B45" s="150">
        <v>3</v>
      </c>
      <c r="C45" s="170">
        <f>3117+1223</f>
        <v>4340</v>
      </c>
      <c r="D45" s="170">
        <v>260</v>
      </c>
      <c r="E45" s="170">
        <v>0</v>
      </c>
      <c r="F45" s="229">
        <f t="shared" si="22"/>
        <v>7.8</v>
      </c>
      <c r="G45" s="253">
        <f t="shared" ref="G45:G53" si="25">E45/9</f>
        <v>0</v>
      </c>
      <c r="H45" s="253"/>
      <c r="I45" s="229">
        <v>260</v>
      </c>
      <c r="J45" s="234">
        <f t="shared" si="23"/>
        <v>21.666666666666668</v>
      </c>
      <c r="L45" s="134">
        <f t="shared" si="24"/>
        <v>0</v>
      </c>
    </row>
    <row r="46" spans="1:14" x14ac:dyDescent="0.35">
      <c r="A46" s="150" t="s">
        <v>53</v>
      </c>
      <c r="B46" s="150">
        <v>3</v>
      </c>
      <c r="C46" s="170">
        <f>6486.19+38</f>
        <v>6524.19</v>
      </c>
      <c r="D46" s="170">
        <v>2750</v>
      </c>
      <c r="E46" s="170">
        <v>1648</v>
      </c>
      <c r="F46" s="229">
        <f t="shared" si="22"/>
        <v>82.5</v>
      </c>
      <c r="G46" s="253">
        <f t="shared" si="25"/>
        <v>183.11111111111111</v>
      </c>
      <c r="H46" s="253"/>
      <c r="I46" s="229">
        <v>2210</v>
      </c>
      <c r="J46" s="234">
        <f t="shared" si="23"/>
        <v>184.16666666666666</v>
      </c>
      <c r="L46" s="134">
        <f t="shared" si="24"/>
        <v>2213.8133333333335</v>
      </c>
    </row>
    <row r="47" spans="1:14" x14ac:dyDescent="0.35">
      <c r="A47" s="150" t="s">
        <v>54</v>
      </c>
      <c r="B47" s="150">
        <v>3</v>
      </c>
      <c r="C47" s="170">
        <f>13027.18+1012</f>
        <v>14039.18</v>
      </c>
      <c r="D47" s="170">
        <v>5150</v>
      </c>
      <c r="E47" s="170">
        <v>3665</v>
      </c>
      <c r="F47" s="229">
        <f t="shared" si="22"/>
        <v>154.5</v>
      </c>
      <c r="G47" s="253">
        <f t="shared" si="25"/>
        <v>407.22222222222223</v>
      </c>
      <c r="H47" s="253"/>
      <c r="I47" s="229">
        <v>4920</v>
      </c>
      <c r="J47" s="234">
        <f t="shared" si="23"/>
        <v>410</v>
      </c>
      <c r="L47" s="134">
        <f t="shared" si="24"/>
        <v>4923.3166666666666</v>
      </c>
    </row>
    <row r="48" spans="1:14" x14ac:dyDescent="0.35">
      <c r="A48" s="150" t="s">
        <v>257</v>
      </c>
      <c r="B48" s="150">
        <v>3</v>
      </c>
      <c r="C48" s="170">
        <f>26062.95-9023</f>
        <v>17039.95</v>
      </c>
      <c r="D48" s="170">
        <v>11310</v>
      </c>
      <c r="E48" s="170">
        <v>3137</v>
      </c>
      <c r="F48" s="229">
        <f t="shared" si="22"/>
        <v>339.3</v>
      </c>
      <c r="G48" s="253">
        <f t="shared" si="25"/>
        <v>348.55555555555554</v>
      </c>
      <c r="H48" s="253"/>
      <c r="I48" s="229">
        <v>4210</v>
      </c>
      <c r="J48" s="234">
        <f t="shared" si="23"/>
        <v>350.83333333333331</v>
      </c>
      <c r="L48" s="134">
        <f t="shared" si="24"/>
        <v>4214.0366666666669</v>
      </c>
    </row>
    <row r="49" spans="1:14" x14ac:dyDescent="0.35">
      <c r="A49" s="150" t="s">
        <v>55</v>
      </c>
      <c r="B49" s="150">
        <v>3</v>
      </c>
      <c r="C49" s="170">
        <f>27331.93-6041</f>
        <v>21290.93</v>
      </c>
      <c r="D49" s="170">
        <v>14320</v>
      </c>
      <c r="E49" s="170">
        <v>6567</v>
      </c>
      <c r="F49" s="229">
        <f t="shared" si="22"/>
        <v>429.59999999999997</v>
      </c>
      <c r="G49" s="253">
        <f t="shared" si="25"/>
        <v>729.66666666666663</v>
      </c>
      <c r="H49" s="253"/>
      <c r="I49" s="229">
        <v>8820</v>
      </c>
      <c r="J49" s="234">
        <f t="shared" si="23"/>
        <v>735</v>
      </c>
      <c r="L49" s="134">
        <f t="shared" si="24"/>
        <v>8821.67</v>
      </c>
    </row>
    <row r="50" spans="1:14" x14ac:dyDescent="0.35">
      <c r="A50" s="150" t="s">
        <v>526</v>
      </c>
      <c r="B50" s="150"/>
      <c r="C50" s="151"/>
      <c r="D50" s="170">
        <v>0</v>
      </c>
      <c r="E50" s="170">
        <v>0</v>
      </c>
      <c r="F50" s="170">
        <f t="shared" ref="F50:F51" si="26">E50/9</f>
        <v>0</v>
      </c>
      <c r="G50" s="253">
        <f>E50/9</f>
        <v>0</v>
      </c>
      <c r="H50" s="253"/>
      <c r="I50" s="171">
        <v>500</v>
      </c>
      <c r="J50" s="172">
        <f>I50/12</f>
        <v>41.666666666666664</v>
      </c>
      <c r="K50" s="173" t="s">
        <v>623</v>
      </c>
      <c r="L50" s="134">
        <f t="shared" ref="L50:L51" si="27">SUM((E50+(F50*3))*1.03)</f>
        <v>0</v>
      </c>
    </row>
    <row r="51" spans="1:14" x14ac:dyDescent="0.35">
      <c r="A51" s="150" t="s">
        <v>527</v>
      </c>
      <c r="B51" s="150"/>
      <c r="C51" s="151"/>
      <c r="D51" s="170">
        <v>0</v>
      </c>
      <c r="E51" s="170">
        <v>0</v>
      </c>
      <c r="F51" s="170">
        <f t="shared" si="26"/>
        <v>0</v>
      </c>
      <c r="G51" s="253">
        <f>E51/9</f>
        <v>0</v>
      </c>
      <c r="H51" s="253"/>
      <c r="I51" s="171">
        <v>2800</v>
      </c>
      <c r="J51" s="172">
        <f>I51/12</f>
        <v>233.33333333333334</v>
      </c>
      <c r="K51" s="173" t="s">
        <v>626</v>
      </c>
      <c r="L51" s="134">
        <f t="shared" si="27"/>
        <v>0</v>
      </c>
    </row>
    <row r="52" spans="1:14" x14ac:dyDescent="0.35">
      <c r="A52" s="150" t="s">
        <v>648</v>
      </c>
      <c r="B52" s="150"/>
      <c r="C52" s="151"/>
      <c r="D52" s="141">
        <v>0</v>
      </c>
      <c r="E52" s="170">
        <v>0</v>
      </c>
      <c r="F52" s="170">
        <f t="shared" ref="F52" si="28">E52/9</f>
        <v>0</v>
      </c>
      <c r="G52" s="253">
        <f t="shared" si="25"/>
        <v>0</v>
      </c>
      <c r="H52" s="253"/>
      <c r="I52" s="171">
        <v>3000</v>
      </c>
      <c r="J52" s="172">
        <f t="shared" si="23"/>
        <v>250</v>
      </c>
      <c r="K52" s="173" t="s">
        <v>623</v>
      </c>
      <c r="L52" s="134">
        <f t="shared" ref="L52" si="29">SUM((E52+(F52*3))*1.03)</f>
        <v>0</v>
      </c>
    </row>
    <row r="53" spans="1:14" x14ac:dyDescent="0.35">
      <c r="A53" s="150" t="s">
        <v>258</v>
      </c>
      <c r="B53" s="150">
        <v>3</v>
      </c>
      <c r="C53" s="170">
        <f>13564.66+503</f>
        <v>14067.66</v>
      </c>
      <c r="D53" s="170">
        <v>4550</v>
      </c>
      <c r="E53" s="170">
        <v>4723</v>
      </c>
      <c r="F53" s="229">
        <f t="shared" si="22"/>
        <v>136.5</v>
      </c>
      <c r="G53" s="253">
        <f t="shared" si="25"/>
        <v>524.77777777777783</v>
      </c>
      <c r="H53" s="253"/>
      <c r="I53" s="229">
        <v>6340</v>
      </c>
      <c r="J53" s="234">
        <f t="shared" si="23"/>
        <v>528.33333333333337</v>
      </c>
      <c r="L53" s="134">
        <f t="shared" si="24"/>
        <v>6344.5633333333335</v>
      </c>
    </row>
    <row r="54" spans="1:14" x14ac:dyDescent="0.35">
      <c r="A54" s="150" t="s">
        <v>259</v>
      </c>
      <c r="B54" s="150">
        <v>3</v>
      </c>
      <c r="C54" s="175">
        <f>6630.96+9</f>
        <v>6639.96</v>
      </c>
      <c r="D54" s="175">
        <v>2880</v>
      </c>
      <c r="E54" s="175">
        <v>2351</v>
      </c>
      <c r="F54" s="250">
        <f t="shared" si="22"/>
        <v>86.399999999999991</v>
      </c>
      <c r="G54" s="266">
        <f>E54/9</f>
        <v>261.22222222222223</v>
      </c>
      <c r="H54" s="253"/>
      <c r="I54" s="250">
        <v>3160</v>
      </c>
      <c r="J54" s="251">
        <f t="shared" si="23"/>
        <v>263.33333333333331</v>
      </c>
      <c r="K54" s="134" t="s">
        <v>655</v>
      </c>
      <c r="L54" s="134">
        <f t="shared" si="24"/>
        <v>3158.1766666666667</v>
      </c>
    </row>
    <row r="55" spans="1:14" x14ac:dyDescent="0.35">
      <c r="A55" s="169" t="s">
        <v>91</v>
      </c>
      <c r="B55" s="150"/>
      <c r="C55" s="170">
        <f>SUM(C44:C54)</f>
        <v>85862.87000000001</v>
      </c>
      <c r="D55" s="170">
        <f>SUM(D44:D54)</f>
        <v>41640</v>
      </c>
      <c r="E55" s="170">
        <f>SUM(E44:E54)</f>
        <v>22291</v>
      </c>
      <c r="F55" s="225">
        <f>SUM(F44:F54)</f>
        <v>1249.2</v>
      </c>
      <c r="G55" s="268">
        <f>SUM(G44:G54)</f>
        <v>2476.7777777777778</v>
      </c>
      <c r="H55" s="268"/>
      <c r="I55" s="225">
        <f>SUM(I44:I54)</f>
        <v>36490</v>
      </c>
      <c r="J55" s="269">
        <f>SUM(J44:J54)</f>
        <v>3040.8333333333335</v>
      </c>
    </row>
    <row r="56" spans="1:14" x14ac:dyDescent="0.35">
      <c r="A56" s="150"/>
      <c r="B56" s="150"/>
      <c r="C56" s="227"/>
      <c r="D56" s="227"/>
      <c r="E56" s="227"/>
      <c r="F56" s="228"/>
      <c r="G56" s="267"/>
      <c r="H56" s="267"/>
      <c r="I56" s="229"/>
      <c r="J56" s="230"/>
    </row>
    <row r="57" spans="1:14" x14ac:dyDescent="0.35">
      <c r="A57" s="169" t="s">
        <v>457</v>
      </c>
      <c r="B57" s="150"/>
      <c r="C57" s="227"/>
      <c r="D57" s="227"/>
      <c r="E57" s="227"/>
      <c r="F57" s="228"/>
      <c r="G57" s="267"/>
      <c r="H57" s="267"/>
      <c r="I57" s="229"/>
      <c r="J57" s="230"/>
    </row>
    <row r="58" spans="1:14" x14ac:dyDescent="0.35">
      <c r="A58" s="150" t="s">
        <v>42</v>
      </c>
      <c r="B58" s="150">
        <v>3</v>
      </c>
      <c r="C58" s="170">
        <f>224.88-29</f>
        <v>195.88</v>
      </c>
      <c r="D58" s="170">
        <v>800</v>
      </c>
      <c r="E58" s="170">
        <v>276</v>
      </c>
      <c r="F58" s="229">
        <v>0</v>
      </c>
      <c r="G58" s="253">
        <f>E58/9</f>
        <v>30.666666666666668</v>
      </c>
      <c r="H58" s="253"/>
      <c r="I58" s="229">
        <v>880</v>
      </c>
      <c r="J58" s="234">
        <f t="shared" ref="J58:J63" si="30">I58/12</f>
        <v>73.333333333333329</v>
      </c>
      <c r="K58" s="173" t="s">
        <v>427</v>
      </c>
      <c r="L58" s="134">
        <f>SUM(I23+I53)*7.65%</f>
        <v>872.1</v>
      </c>
      <c r="N58" s="214">
        <v>7.6499999999999999E-2</v>
      </c>
    </row>
    <row r="59" spans="1:14" x14ac:dyDescent="0.35">
      <c r="A59" s="150" t="s">
        <v>260</v>
      </c>
      <c r="B59" s="150">
        <v>3</v>
      </c>
      <c r="C59" s="170">
        <f>8887.76+911</f>
        <v>9798.76</v>
      </c>
      <c r="D59" s="170">
        <v>3980</v>
      </c>
      <c r="E59" s="170">
        <v>2839</v>
      </c>
      <c r="F59" s="229">
        <f>D59*$N$59</f>
        <v>199</v>
      </c>
      <c r="G59" s="253">
        <f t="shared" ref="G59:G62" si="31">E59/9</f>
        <v>315.44444444444446</v>
      </c>
      <c r="H59" s="253"/>
      <c r="I59" s="229">
        <v>2870</v>
      </c>
      <c r="J59" s="234">
        <f t="shared" si="30"/>
        <v>239.16666666666666</v>
      </c>
      <c r="K59" s="173" t="s">
        <v>571</v>
      </c>
      <c r="L59" s="134">
        <f>E59*1.01</f>
        <v>2867.39</v>
      </c>
      <c r="N59" s="188">
        <v>0.05</v>
      </c>
    </row>
    <row r="60" spans="1:14" x14ac:dyDescent="0.35">
      <c r="A60" s="150" t="s">
        <v>59</v>
      </c>
      <c r="B60" s="150">
        <v>3</v>
      </c>
      <c r="C60" s="170">
        <f>1897.68+1287</f>
        <v>3184.6800000000003</v>
      </c>
      <c r="D60" s="170">
        <v>3160</v>
      </c>
      <c r="E60" s="170">
        <v>840</v>
      </c>
      <c r="F60" s="229">
        <v>0</v>
      </c>
      <c r="G60" s="253">
        <f t="shared" si="31"/>
        <v>93.333333333333329</v>
      </c>
      <c r="H60" s="253"/>
      <c r="I60" s="229">
        <v>3420</v>
      </c>
      <c r="J60" s="234">
        <f t="shared" si="30"/>
        <v>285</v>
      </c>
      <c r="K60" s="173" t="s">
        <v>424</v>
      </c>
      <c r="L60" s="134">
        <f>SUM(I23+I53)*0.3</f>
        <v>3420</v>
      </c>
      <c r="N60" s="188">
        <v>0.3</v>
      </c>
    </row>
    <row r="61" spans="1:14" x14ac:dyDescent="0.35">
      <c r="A61" s="150" t="s">
        <v>232</v>
      </c>
      <c r="B61" s="150">
        <v>3</v>
      </c>
      <c r="C61" s="170">
        <f>278.8-163</f>
        <v>115.80000000000001</v>
      </c>
      <c r="D61" s="170">
        <v>220</v>
      </c>
      <c r="E61" s="170">
        <v>362</v>
      </c>
      <c r="F61" s="229">
        <f>D61*$N$7</f>
        <v>6.6</v>
      </c>
      <c r="G61" s="253">
        <f t="shared" si="31"/>
        <v>40.222222222222221</v>
      </c>
      <c r="H61" s="253"/>
      <c r="I61" s="229">
        <v>390</v>
      </c>
      <c r="J61" s="234">
        <f t="shared" si="30"/>
        <v>32.5</v>
      </c>
      <c r="K61" s="173" t="s">
        <v>640</v>
      </c>
      <c r="L61" s="134">
        <f>SUM((E61+(F61*3))*1.03)</f>
        <v>393.25400000000002</v>
      </c>
    </row>
    <row r="62" spans="1:14" x14ac:dyDescent="0.35">
      <c r="A62" s="150" t="s">
        <v>261</v>
      </c>
      <c r="B62" s="150">
        <v>3</v>
      </c>
      <c r="C62" s="170">
        <f>799+17</f>
        <v>816</v>
      </c>
      <c r="D62" s="170">
        <v>620</v>
      </c>
      <c r="E62" s="170">
        <v>0</v>
      </c>
      <c r="F62" s="229">
        <f>D62*$N$7</f>
        <v>18.599999999999998</v>
      </c>
      <c r="G62" s="253">
        <f t="shared" si="31"/>
        <v>0</v>
      </c>
      <c r="H62" s="253"/>
      <c r="I62" s="229">
        <v>620</v>
      </c>
      <c r="J62" s="234">
        <f t="shared" si="30"/>
        <v>51.666666666666664</v>
      </c>
      <c r="L62" s="134">
        <f t="shared" ref="L62" si="32">SUM(E62)+(F62*3)*1.03</f>
        <v>57.473999999999997</v>
      </c>
    </row>
    <row r="63" spans="1:14" x14ac:dyDescent="0.35">
      <c r="A63" s="150" t="s">
        <v>62</v>
      </c>
      <c r="B63" s="150">
        <v>3</v>
      </c>
      <c r="C63" s="175">
        <f>124427.13+1690</f>
        <v>126117.13</v>
      </c>
      <c r="D63" s="175">
        <v>43300</v>
      </c>
      <c r="E63" s="175">
        <v>34885</v>
      </c>
      <c r="F63" s="250">
        <v>0</v>
      </c>
      <c r="G63" s="266">
        <f>E63/9</f>
        <v>3876.1111111111113</v>
      </c>
      <c r="H63" s="253"/>
      <c r="I63" s="250">
        <v>48940</v>
      </c>
      <c r="J63" s="251">
        <f t="shared" si="30"/>
        <v>4078.3333333333335</v>
      </c>
      <c r="K63" s="173" t="s">
        <v>262</v>
      </c>
    </row>
    <row r="64" spans="1:14" x14ac:dyDescent="0.35">
      <c r="A64" s="169" t="s">
        <v>92</v>
      </c>
      <c r="B64" s="150"/>
      <c r="C64" s="170">
        <f t="shared" ref="C64:J64" si="33">SUM(C58:C63)</f>
        <v>140228.25</v>
      </c>
      <c r="D64" s="170">
        <f t="shared" si="33"/>
        <v>52080</v>
      </c>
      <c r="E64" s="170">
        <f t="shared" si="33"/>
        <v>39202</v>
      </c>
      <c r="F64" s="228">
        <f t="shared" si="33"/>
        <v>224.2</v>
      </c>
      <c r="G64" s="267">
        <f>SUM(G58:G63)</f>
        <v>4355.7777777777783</v>
      </c>
      <c r="H64" s="267"/>
      <c r="I64" s="228">
        <f t="shared" si="33"/>
        <v>57120</v>
      </c>
      <c r="J64" s="231">
        <f t="shared" si="33"/>
        <v>4760</v>
      </c>
    </row>
    <row r="65" spans="1:14" x14ac:dyDescent="0.35">
      <c r="A65" s="169"/>
      <c r="B65" s="150"/>
      <c r="C65" s="227"/>
      <c r="D65" s="227"/>
      <c r="E65" s="227"/>
      <c r="F65" s="228"/>
      <c r="G65" s="267"/>
      <c r="H65" s="267"/>
      <c r="I65" s="229"/>
      <c r="J65" s="230"/>
    </row>
    <row r="66" spans="1:14" x14ac:dyDescent="0.35">
      <c r="A66" s="169" t="s">
        <v>84</v>
      </c>
      <c r="B66" s="150"/>
      <c r="C66" s="227"/>
      <c r="D66" s="227"/>
      <c r="E66" s="227"/>
      <c r="F66" s="228"/>
      <c r="G66" s="267"/>
      <c r="H66" s="267"/>
      <c r="I66" s="229"/>
      <c r="J66" s="230"/>
    </row>
    <row r="67" spans="1:14" x14ac:dyDescent="0.35">
      <c r="A67" s="150" t="s">
        <v>63</v>
      </c>
      <c r="B67" s="150">
        <v>3</v>
      </c>
      <c r="C67" s="175">
        <f>18900-203</f>
        <v>18697</v>
      </c>
      <c r="D67" s="175">
        <v>6300</v>
      </c>
      <c r="E67" s="175">
        <v>4725</v>
      </c>
      <c r="F67" s="250">
        <v>0</v>
      </c>
      <c r="G67" s="266">
        <f>E67/9</f>
        <v>525</v>
      </c>
      <c r="H67" s="253"/>
      <c r="I67" s="250">
        <f t="shared" ref="I67" si="34">D67+F67</f>
        <v>6300</v>
      </c>
      <c r="J67" s="251">
        <f t="shared" ref="J67" si="35">I67/12</f>
        <v>525</v>
      </c>
    </row>
    <row r="68" spans="1:14" x14ac:dyDescent="0.35">
      <c r="A68" s="169" t="s">
        <v>93</v>
      </c>
      <c r="B68" s="150"/>
      <c r="C68" s="170">
        <f>SUM(C67)</f>
        <v>18697</v>
      </c>
      <c r="D68" s="170">
        <f t="shared" ref="D68:J68" si="36">SUM(D67)</f>
        <v>6300</v>
      </c>
      <c r="E68" s="170">
        <f t="shared" si="36"/>
        <v>4725</v>
      </c>
      <c r="F68" s="229">
        <f t="shared" si="36"/>
        <v>0</v>
      </c>
      <c r="G68" s="253">
        <f>SUM(G67)</f>
        <v>525</v>
      </c>
      <c r="H68" s="253"/>
      <c r="I68" s="229">
        <f t="shared" si="36"/>
        <v>6300</v>
      </c>
      <c r="J68" s="234">
        <f t="shared" si="36"/>
        <v>525</v>
      </c>
    </row>
    <row r="69" spans="1:14" x14ac:dyDescent="0.35">
      <c r="A69" s="150"/>
      <c r="B69" s="150"/>
      <c r="C69" s="150"/>
      <c r="D69" s="150"/>
      <c r="E69" s="150"/>
      <c r="F69" s="233"/>
      <c r="G69" s="270"/>
      <c r="H69" s="270"/>
      <c r="I69" s="233"/>
      <c r="J69" s="139"/>
    </row>
    <row r="70" spans="1:14" x14ac:dyDescent="0.35">
      <c r="A70" s="169" t="s">
        <v>458</v>
      </c>
      <c r="B70" s="150"/>
      <c r="C70" s="150"/>
      <c r="D70" s="150"/>
      <c r="E70" s="150"/>
      <c r="F70" s="233"/>
      <c r="G70" s="270"/>
      <c r="H70" s="270"/>
      <c r="I70" s="233"/>
      <c r="J70" s="139"/>
    </row>
    <row r="71" spans="1:14" x14ac:dyDescent="0.35">
      <c r="A71" s="150" t="s">
        <v>297</v>
      </c>
      <c r="B71" s="150">
        <v>3</v>
      </c>
      <c r="C71" s="170">
        <v>0</v>
      </c>
      <c r="D71" s="170">
        <v>10500</v>
      </c>
      <c r="E71" s="170">
        <v>10825</v>
      </c>
      <c r="F71" s="229">
        <v>0</v>
      </c>
      <c r="G71" s="253">
        <f t="shared" ref="G71:G75" si="37">E71/9</f>
        <v>1202.7777777777778</v>
      </c>
      <c r="H71" s="253"/>
      <c r="I71" s="229">
        <v>2500</v>
      </c>
      <c r="J71" s="234">
        <f t="shared" ref="J71:J78" si="38">I71/12</f>
        <v>208.33333333333334</v>
      </c>
      <c r="K71" s="173" t="s">
        <v>606</v>
      </c>
    </row>
    <row r="72" spans="1:14" hidden="1" x14ac:dyDescent="0.35">
      <c r="A72" s="150" t="s">
        <v>264</v>
      </c>
      <c r="B72" s="150">
        <v>3</v>
      </c>
      <c r="C72" s="170">
        <v>21000</v>
      </c>
      <c r="D72" s="170">
        <v>0</v>
      </c>
      <c r="E72" s="170">
        <f t="shared" ref="E72:E76" si="39">D72/12</f>
        <v>0</v>
      </c>
      <c r="F72" s="229">
        <f t="shared" ref="F72" si="40">D72*$N$7</f>
        <v>0</v>
      </c>
      <c r="G72" s="253">
        <f t="shared" si="37"/>
        <v>0</v>
      </c>
      <c r="H72" s="253"/>
      <c r="I72" s="229">
        <v>0</v>
      </c>
      <c r="J72" s="234">
        <f t="shared" si="38"/>
        <v>0</v>
      </c>
    </row>
    <row r="73" spans="1:14" x14ac:dyDescent="0.35">
      <c r="A73" s="150" t="s">
        <v>265</v>
      </c>
      <c r="B73" s="150">
        <v>3</v>
      </c>
      <c r="C73" s="170">
        <v>0</v>
      </c>
      <c r="D73" s="170">
        <v>41200</v>
      </c>
      <c r="E73" s="170">
        <v>32106</v>
      </c>
      <c r="F73" s="229">
        <v>0</v>
      </c>
      <c r="G73" s="253">
        <f t="shared" si="37"/>
        <v>3567.3333333333335</v>
      </c>
      <c r="H73" s="253"/>
      <c r="I73" s="229">
        <v>0</v>
      </c>
      <c r="J73" s="234">
        <f t="shared" si="38"/>
        <v>0</v>
      </c>
      <c r="K73" s="173" t="s">
        <v>658</v>
      </c>
    </row>
    <row r="74" spans="1:14" x14ac:dyDescent="0.35">
      <c r="A74" s="150" t="s">
        <v>266</v>
      </c>
      <c r="B74" s="150">
        <v>3</v>
      </c>
      <c r="C74" s="170">
        <v>2620</v>
      </c>
      <c r="D74" s="170">
        <v>0</v>
      </c>
      <c r="E74" s="170">
        <f t="shared" si="39"/>
        <v>0</v>
      </c>
      <c r="F74" s="229">
        <f>E74/9</f>
        <v>0</v>
      </c>
      <c r="G74" s="253">
        <f t="shared" si="37"/>
        <v>0</v>
      </c>
      <c r="H74" s="253"/>
      <c r="I74" s="229">
        <v>2300</v>
      </c>
      <c r="J74" s="234">
        <f t="shared" si="38"/>
        <v>191.66666666666666</v>
      </c>
      <c r="K74" s="173" t="s">
        <v>607</v>
      </c>
      <c r="N74" s="134">
        <f>SUM(I70)*7.65%</f>
        <v>0</v>
      </c>
    </row>
    <row r="75" spans="1:14" hidden="1" x14ac:dyDescent="0.35">
      <c r="A75" s="150" t="s">
        <v>267</v>
      </c>
      <c r="B75" s="150">
        <v>3</v>
      </c>
      <c r="C75" s="170">
        <f>984+7</f>
        <v>991</v>
      </c>
      <c r="D75" s="175">
        <v>0</v>
      </c>
      <c r="E75" s="175">
        <v>1744</v>
      </c>
      <c r="F75" s="229">
        <f t="shared" ref="F75:F78" si="41">E75/9</f>
        <v>193.77777777777777</v>
      </c>
      <c r="G75" s="266">
        <f t="shared" si="37"/>
        <v>193.77777777777777</v>
      </c>
      <c r="H75" s="266"/>
      <c r="I75" s="250">
        <v>0</v>
      </c>
      <c r="J75" s="251">
        <f t="shared" si="38"/>
        <v>0</v>
      </c>
    </row>
    <row r="76" spans="1:14" hidden="1" x14ac:dyDescent="0.35">
      <c r="A76" s="150" t="s">
        <v>64</v>
      </c>
      <c r="B76" s="150">
        <v>3</v>
      </c>
      <c r="C76" s="170">
        <v>0</v>
      </c>
      <c r="D76" s="170">
        <f t="shared" ref="D76" si="42">C76/3</f>
        <v>0</v>
      </c>
      <c r="E76" s="170">
        <f t="shared" si="39"/>
        <v>0</v>
      </c>
      <c r="F76" s="229">
        <f t="shared" si="41"/>
        <v>0</v>
      </c>
      <c r="G76" s="253">
        <f t="shared" ref="G76:G78" si="43">E76/9</f>
        <v>0</v>
      </c>
      <c r="H76" s="253"/>
      <c r="I76" s="229">
        <v>0</v>
      </c>
      <c r="J76" s="234">
        <f t="shared" si="38"/>
        <v>0</v>
      </c>
      <c r="N76" s="134">
        <f>SUM(I70)*30%</f>
        <v>0</v>
      </c>
    </row>
    <row r="77" spans="1:14" hidden="1" x14ac:dyDescent="0.35">
      <c r="A77" s="150" t="s">
        <v>26</v>
      </c>
      <c r="B77" s="150">
        <v>3</v>
      </c>
      <c r="C77" s="170">
        <v>1020</v>
      </c>
      <c r="D77" s="170">
        <v>0</v>
      </c>
      <c r="E77" s="170">
        <v>0</v>
      </c>
      <c r="F77" s="229">
        <f t="shared" si="41"/>
        <v>0</v>
      </c>
      <c r="G77" s="253">
        <f t="shared" si="43"/>
        <v>0</v>
      </c>
      <c r="H77" s="253"/>
      <c r="I77" s="229">
        <v>0</v>
      </c>
      <c r="J77" s="234">
        <f t="shared" si="38"/>
        <v>0</v>
      </c>
      <c r="N77" s="134">
        <f>SUM((E77+(F77*3))*1.03)</f>
        <v>0</v>
      </c>
    </row>
    <row r="78" spans="1:14" x14ac:dyDescent="0.35">
      <c r="A78" s="150" t="s">
        <v>268</v>
      </c>
      <c r="B78" s="150">
        <v>3</v>
      </c>
      <c r="C78" s="175">
        <v>0</v>
      </c>
      <c r="D78" s="175">
        <v>0</v>
      </c>
      <c r="E78" s="175">
        <v>0</v>
      </c>
      <c r="F78" s="228">
        <f t="shared" si="41"/>
        <v>0</v>
      </c>
      <c r="G78" s="266">
        <f t="shared" si="43"/>
        <v>0</v>
      </c>
      <c r="H78" s="253"/>
      <c r="I78" s="250">
        <v>35000</v>
      </c>
      <c r="J78" s="251">
        <f t="shared" si="38"/>
        <v>2916.6666666666665</v>
      </c>
      <c r="K78" s="134" t="s">
        <v>657</v>
      </c>
    </row>
    <row r="79" spans="1:14" s="159" customFormat="1" ht="21.75" thickBot="1" x14ac:dyDescent="0.4">
      <c r="A79" s="169" t="s">
        <v>94</v>
      </c>
      <c r="C79" s="170">
        <f>SUM(C71:C78)</f>
        <v>25631</v>
      </c>
      <c r="D79" s="170">
        <f t="shared" ref="D79:G79" si="44">SUM(D71:D78)</f>
        <v>51700</v>
      </c>
      <c r="E79" s="170">
        <f t="shared" si="44"/>
        <v>44675</v>
      </c>
      <c r="F79" s="170">
        <f t="shared" si="44"/>
        <v>193.77777777777777</v>
      </c>
      <c r="G79" s="170">
        <f t="shared" si="44"/>
        <v>4963.8888888888887</v>
      </c>
      <c r="H79" s="253"/>
      <c r="I79" s="191">
        <f>SUM(I71:I78)</f>
        <v>39800</v>
      </c>
      <c r="J79" s="192">
        <f>SUM(J69:J78)</f>
        <v>3316.6666666666665</v>
      </c>
    </row>
  </sheetData>
  <mergeCells count="1">
    <mergeCell ref="I1:J1"/>
  </mergeCells>
  <pageMargins left="0.7" right="0.28000000000000003" top="0.72" bottom="0.52" header="0.3" footer="0.3"/>
  <pageSetup scale="43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99"/>
  <sheetViews>
    <sheetView zoomScale="80" zoomScaleNormal="80" workbookViewId="0">
      <pane xSplit="3" ySplit="4" topLeftCell="D41" activePane="bottomRight" state="frozen"/>
      <selection activeCell="I38" sqref="I38"/>
      <selection pane="topRight" activeCell="I38" sqref="I38"/>
      <selection pane="bottomLeft" activeCell="I38" sqref="I38"/>
      <selection pane="bottomRight" activeCell="D34" sqref="D34"/>
    </sheetView>
  </sheetViews>
  <sheetFormatPr defaultRowHeight="21" x14ac:dyDescent="0.35"/>
  <cols>
    <col min="1" max="1" width="61.5703125" style="134" bestFit="1" customWidth="1"/>
    <col min="2" max="2" width="9.140625" style="134" hidden="1" customWidth="1"/>
    <col min="3" max="3" width="14" style="134" hidden="1" customWidth="1"/>
    <col min="4" max="4" width="18.85546875" style="134" bestFit="1" customWidth="1"/>
    <col min="5" max="5" width="16.28515625" style="134" bestFit="1" customWidth="1"/>
    <col min="6" max="6" width="16.7109375" style="134" bestFit="1" customWidth="1"/>
    <col min="7" max="7" width="3.42578125" style="134" customWidth="1"/>
    <col min="8" max="8" width="0" style="134" hidden="1" customWidth="1"/>
    <col min="9" max="9" width="36.42578125" style="134" customWidth="1"/>
    <col min="10" max="10" width="13.140625" style="134" bestFit="1" customWidth="1"/>
    <col min="11" max="11" width="67.42578125" style="134" customWidth="1"/>
    <col min="12" max="12" width="12.140625" style="134" bestFit="1" customWidth="1"/>
    <col min="13" max="15" width="9.42578125" style="134" bestFit="1" customWidth="1"/>
    <col min="16" max="16384" width="9.140625" style="134"/>
  </cols>
  <sheetData>
    <row r="1" spans="1:14" x14ac:dyDescent="0.35">
      <c r="I1" s="135" t="str">
        <f>Glendale!I1</f>
        <v>Projected Annual Budget 2016</v>
      </c>
      <c r="J1" s="136"/>
      <c r="K1" s="137"/>
    </row>
    <row r="2" spans="1:14" x14ac:dyDescent="0.35">
      <c r="I2" s="138" t="s">
        <v>395</v>
      </c>
      <c r="J2" s="139"/>
      <c r="K2" s="173" t="s">
        <v>608</v>
      </c>
    </row>
    <row r="3" spans="1:14" ht="21.75" thickBot="1" x14ac:dyDescent="0.4">
      <c r="A3" s="36" t="s">
        <v>484</v>
      </c>
      <c r="D3" s="36"/>
      <c r="I3" s="142"/>
      <c r="J3" s="139"/>
      <c r="K3" s="140"/>
    </row>
    <row r="4" spans="1:14" s="149" customFormat="1" ht="63.75" thickBot="1" x14ac:dyDescent="0.4">
      <c r="A4" s="143" t="s">
        <v>77</v>
      </c>
      <c r="B4" s="143" t="s">
        <v>78</v>
      </c>
      <c r="C4" s="143" t="s">
        <v>79</v>
      </c>
      <c r="D4" s="144" t="str">
        <f>Glendale!D4</f>
        <v>2015 Annual Budget</v>
      </c>
      <c r="E4" s="144" t="str">
        <f>Glendale!E4</f>
        <v>YTD Actual FY 2015 @ 9/30/15</v>
      </c>
      <c r="F4" s="144" t="str">
        <f>Glendale!F4</f>
        <v>FY 2015 - 9 month Avg</v>
      </c>
      <c r="G4" s="141"/>
      <c r="H4" s="145"/>
      <c r="I4" s="204" t="s">
        <v>430</v>
      </c>
      <c r="J4" s="147" t="s">
        <v>431</v>
      </c>
      <c r="K4" s="148"/>
      <c r="L4" s="201"/>
      <c r="M4" s="201"/>
      <c r="N4" s="201"/>
    </row>
    <row r="5" spans="1:14" x14ac:dyDescent="0.35">
      <c r="A5" s="150" t="s">
        <v>33</v>
      </c>
      <c r="B5" s="150">
        <v>3</v>
      </c>
      <c r="C5" s="150">
        <v>-957647.01666666672</v>
      </c>
      <c r="D5" s="141">
        <v>-470930</v>
      </c>
      <c r="E5" s="141">
        <v>-365985</v>
      </c>
      <c r="F5" s="141">
        <f t="shared" ref="F5:F11" si="0">E5/9</f>
        <v>-40665</v>
      </c>
      <c r="G5" s="141"/>
      <c r="H5" s="152">
        <v>0</v>
      </c>
      <c r="I5" s="153">
        <v>-491640</v>
      </c>
      <c r="J5" s="154">
        <f>I5/12</f>
        <v>-40970</v>
      </c>
      <c r="K5" s="158"/>
      <c r="L5" s="134">
        <f>SUM(E5)+(F5*3)*1.03</f>
        <v>-491639.85</v>
      </c>
    </row>
    <row r="6" spans="1:14" x14ac:dyDescent="0.35">
      <c r="A6" s="150" t="s">
        <v>246</v>
      </c>
      <c r="B6" s="150">
        <v>3</v>
      </c>
      <c r="C6" s="150">
        <f>-1205.27-9659</f>
        <v>-10864.27</v>
      </c>
      <c r="D6" s="141">
        <v>-3730</v>
      </c>
      <c r="E6" s="141">
        <v>-4562</v>
      </c>
      <c r="F6" s="141">
        <f t="shared" si="0"/>
        <v>-506.88888888888891</v>
      </c>
      <c r="G6" s="141"/>
      <c r="H6" s="155">
        <f>D6*$M$9</f>
        <v>-111.89999999999999</v>
      </c>
      <c r="I6" s="198">
        <v>-6130</v>
      </c>
      <c r="J6" s="156">
        <f t="shared" ref="J6:J14" si="1">I6/12</f>
        <v>-510.83333333333331</v>
      </c>
      <c r="L6" s="134">
        <f t="shared" ref="L6:L14" si="2">SUM(E6)+(F6*3)*1.03</f>
        <v>-6128.2866666666669</v>
      </c>
      <c r="M6" s="36" t="s">
        <v>80</v>
      </c>
    </row>
    <row r="7" spans="1:14" x14ac:dyDescent="0.35">
      <c r="A7" s="150" t="s">
        <v>216</v>
      </c>
      <c r="B7" s="150">
        <v>3</v>
      </c>
      <c r="C7" s="150">
        <f>-21244.47-6689</f>
        <v>-27933.47</v>
      </c>
      <c r="D7" s="141">
        <v>-9330</v>
      </c>
      <c r="E7" s="141">
        <v>-7066</v>
      </c>
      <c r="F7" s="141">
        <f t="shared" si="0"/>
        <v>-785.11111111111109</v>
      </c>
      <c r="G7" s="141"/>
      <c r="H7" s="155">
        <f>D7*$M$9</f>
        <v>-279.89999999999998</v>
      </c>
      <c r="I7" s="198">
        <v>-9490</v>
      </c>
      <c r="J7" s="156">
        <f t="shared" si="1"/>
        <v>-790.83333333333337</v>
      </c>
      <c r="L7" s="134">
        <f t="shared" si="2"/>
        <v>-9491.993333333332</v>
      </c>
      <c r="M7" s="158">
        <v>0.05</v>
      </c>
    </row>
    <row r="8" spans="1:14" x14ac:dyDescent="0.35">
      <c r="A8" s="150" t="s">
        <v>34</v>
      </c>
      <c r="B8" s="150">
        <v>3</v>
      </c>
      <c r="C8" s="150">
        <f>17033.79-8966</f>
        <v>8067.7900000000009</v>
      </c>
      <c r="D8" s="141">
        <v>9420</v>
      </c>
      <c r="E8" s="141">
        <v>3669</v>
      </c>
      <c r="F8" s="141">
        <f t="shared" si="0"/>
        <v>407.66666666666669</v>
      </c>
      <c r="G8" s="141"/>
      <c r="H8" s="155">
        <f>D8*$M$9</f>
        <v>282.59999999999997</v>
      </c>
      <c r="I8" s="198">
        <v>9830</v>
      </c>
      <c r="J8" s="156">
        <f t="shared" si="1"/>
        <v>819.16666666666663</v>
      </c>
      <c r="K8" s="173" t="s">
        <v>555</v>
      </c>
      <c r="L8" s="134">
        <f>SUM(I5)*0.02</f>
        <v>-9832.8000000000011</v>
      </c>
      <c r="M8" s="36" t="s">
        <v>396</v>
      </c>
    </row>
    <row r="9" spans="1:14" hidden="1" x14ac:dyDescent="0.35">
      <c r="A9" s="150" t="s">
        <v>234</v>
      </c>
      <c r="B9" s="150">
        <v>3</v>
      </c>
      <c r="C9" s="150">
        <v>0</v>
      </c>
      <c r="D9" s="141">
        <v>0</v>
      </c>
      <c r="E9" s="141">
        <v>0</v>
      </c>
      <c r="F9" s="141">
        <f t="shared" si="0"/>
        <v>0</v>
      </c>
      <c r="G9" s="141"/>
      <c r="H9" s="155">
        <v>0</v>
      </c>
      <c r="I9" s="198">
        <v>0</v>
      </c>
      <c r="J9" s="156">
        <f t="shared" si="1"/>
        <v>0</v>
      </c>
      <c r="K9" s="158"/>
      <c r="L9" s="134">
        <f t="shared" si="2"/>
        <v>0</v>
      </c>
      <c r="M9" s="158">
        <v>0.03</v>
      </c>
    </row>
    <row r="10" spans="1:14" x14ac:dyDescent="0.35">
      <c r="A10" s="150" t="s">
        <v>35</v>
      </c>
      <c r="B10" s="150">
        <v>3</v>
      </c>
      <c r="C10" s="150">
        <v>-175</v>
      </c>
      <c r="D10" s="141">
        <v>-60</v>
      </c>
      <c r="E10" s="141">
        <v>-20</v>
      </c>
      <c r="F10" s="141">
        <f t="shared" si="0"/>
        <v>-2.2222222222222223</v>
      </c>
      <c r="G10" s="141"/>
      <c r="H10" s="155">
        <f>D10*$M$9</f>
        <v>-1.7999999999999998</v>
      </c>
      <c r="I10" s="198">
        <v>-60</v>
      </c>
      <c r="J10" s="156">
        <f t="shared" si="1"/>
        <v>-5</v>
      </c>
      <c r="L10" s="134">
        <f t="shared" si="2"/>
        <v>-26.866666666666667</v>
      </c>
    </row>
    <row r="11" spans="1:14" x14ac:dyDescent="0.35">
      <c r="A11" s="150" t="s">
        <v>36</v>
      </c>
      <c r="B11" s="150">
        <v>3</v>
      </c>
      <c r="C11" s="150">
        <f>-5305.23-345</f>
        <v>-5650.23</v>
      </c>
      <c r="D11" s="141">
        <v>-2640</v>
      </c>
      <c r="E11" s="141">
        <v>-2766</v>
      </c>
      <c r="F11" s="141">
        <f t="shared" si="0"/>
        <v>-307.33333333333331</v>
      </c>
      <c r="G11" s="141"/>
      <c r="H11" s="155">
        <f>D11*$M$9</f>
        <v>-79.2</v>
      </c>
      <c r="I11" s="198">
        <v>-3710</v>
      </c>
      <c r="J11" s="156">
        <f t="shared" si="1"/>
        <v>-309.16666666666669</v>
      </c>
      <c r="L11" s="134">
        <f t="shared" si="2"/>
        <v>-3715.66</v>
      </c>
    </row>
    <row r="12" spans="1:14" x14ac:dyDescent="0.35">
      <c r="A12" s="150" t="s">
        <v>37</v>
      </c>
      <c r="B12" s="150">
        <v>3</v>
      </c>
      <c r="C12" s="150">
        <f>-4839.93-869</f>
        <v>-5708.93</v>
      </c>
      <c r="D12" s="141">
        <v>-980</v>
      </c>
      <c r="E12" s="141">
        <v>-539</v>
      </c>
      <c r="F12" s="141">
        <f>E12/9</f>
        <v>-59.888888888888886</v>
      </c>
      <c r="G12" s="141"/>
      <c r="H12" s="155">
        <f>D12*$M$9</f>
        <v>-29.4</v>
      </c>
      <c r="I12" s="198">
        <v>-720</v>
      </c>
      <c r="J12" s="156">
        <f t="shared" si="1"/>
        <v>-60</v>
      </c>
      <c r="L12" s="134">
        <f t="shared" si="2"/>
        <v>-724.05666666666662</v>
      </c>
    </row>
    <row r="13" spans="1:14" x14ac:dyDescent="0.35">
      <c r="A13" s="150" t="s">
        <v>301</v>
      </c>
      <c r="B13" s="150">
        <v>3</v>
      </c>
      <c r="C13" s="150">
        <v>-1339</v>
      </c>
      <c r="D13" s="141">
        <v>-600</v>
      </c>
      <c r="E13" s="141">
        <v>-1080</v>
      </c>
      <c r="F13" s="141">
        <f>E13/9</f>
        <v>-120</v>
      </c>
      <c r="G13" s="141"/>
      <c r="H13" s="155">
        <f>D13*$M$9</f>
        <v>-18</v>
      </c>
      <c r="I13" s="198">
        <v>-700</v>
      </c>
      <c r="J13" s="156">
        <f t="shared" si="1"/>
        <v>-58.333333333333336</v>
      </c>
      <c r="L13" s="134">
        <f t="shared" si="2"/>
        <v>-1450.8</v>
      </c>
    </row>
    <row r="14" spans="1:14" x14ac:dyDescent="0.35">
      <c r="A14" s="150" t="s">
        <v>219</v>
      </c>
      <c r="B14" s="150">
        <v>3</v>
      </c>
      <c r="C14" s="211">
        <f>-6480.37-12335</f>
        <v>-18815.37</v>
      </c>
      <c r="D14" s="164">
        <v>-500</v>
      </c>
      <c r="E14" s="164">
        <v>-8997</v>
      </c>
      <c r="F14" s="164">
        <f>E14/9</f>
        <v>-999.66666666666663</v>
      </c>
      <c r="G14" s="141"/>
      <c r="H14" s="165">
        <f>D14*$M$9</f>
        <v>-15</v>
      </c>
      <c r="I14" s="166">
        <v>-800</v>
      </c>
      <c r="J14" s="167">
        <f t="shared" si="1"/>
        <v>-66.666666666666671</v>
      </c>
      <c r="K14" s="173" t="s">
        <v>627</v>
      </c>
      <c r="L14" s="134">
        <f t="shared" si="2"/>
        <v>-12085.970000000001</v>
      </c>
    </row>
    <row r="15" spans="1:14" x14ac:dyDescent="0.35">
      <c r="A15" s="169" t="s">
        <v>81</v>
      </c>
      <c r="B15" s="150"/>
      <c r="C15" s="170">
        <f t="shared" ref="C15:J15" si="3">SUM(C5:C14)</f>
        <v>-1020065.4966666667</v>
      </c>
      <c r="D15" s="141">
        <f t="shared" si="3"/>
        <v>-479350</v>
      </c>
      <c r="E15" s="141">
        <f t="shared" si="3"/>
        <v>-387346</v>
      </c>
      <c r="F15" s="141">
        <f>SUM(F5:F14)</f>
        <v>-43038.444444444445</v>
      </c>
      <c r="G15" s="141"/>
      <c r="H15" s="155">
        <f t="shared" si="3"/>
        <v>-252.6</v>
      </c>
      <c r="I15" s="155">
        <f t="shared" si="3"/>
        <v>-503420</v>
      </c>
      <c r="J15" s="156">
        <f t="shared" si="3"/>
        <v>-41951.666666666672</v>
      </c>
    </row>
    <row r="16" spans="1:14" x14ac:dyDescent="0.35">
      <c r="A16" s="150"/>
      <c r="B16" s="150"/>
      <c r="C16" s="170"/>
      <c r="D16" s="141"/>
      <c r="E16" s="141"/>
      <c r="F16" s="141"/>
      <c r="G16" s="141"/>
      <c r="H16" s="155"/>
      <c r="I16" s="155"/>
      <c r="J16" s="156"/>
    </row>
    <row r="17" spans="1:12" x14ac:dyDescent="0.35">
      <c r="A17" s="150" t="s">
        <v>82</v>
      </c>
      <c r="B17" s="150"/>
      <c r="C17" s="170">
        <f>C42</f>
        <v>248718.24666666667</v>
      </c>
      <c r="D17" s="141">
        <f t="shared" ref="D17:E17" si="4">D42</f>
        <v>36680</v>
      </c>
      <c r="E17" s="141">
        <f t="shared" si="4"/>
        <v>30516</v>
      </c>
      <c r="F17" s="141">
        <f>E17/9</f>
        <v>3390.6666666666665</v>
      </c>
      <c r="G17" s="141"/>
      <c r="H17" s="155">
        <f>H42</f>
        <v>1579.6</v>
      </c>
      <c r="I17" s="155">
        <f t="shared" ref="I17:J17" si="5">I42</f>
        <v>54200</v>
      </c>
      <c r="J17" s="156">
        <f t="shared" si="5"/>
        <v>4516.6666666666661</v>
      </c>
    </row>
    <row r="18" spans="1:12" x14ac:dyDescent="0.35">
      <c r="A18" s="150" t="s">
        <v>90</v>
      </c>
      <c r="B18" s="150"/>
      <c r="C18" s="170">
        <f>C49</f>
        <v>138900.9433333333</v>
      </c>
      <c r="D18" s="141">
        <f t="shared" ref="D18:E18" si="6">D49</f>
        <v>46330</v>
      </c>
      <c r="E18" s="141">
        <f t="shared" si="6"/>
        <v>26188</v>
      </c>
      <c r="F18" s="141">
        <f t="shared" ref="F18:F22" si="7">E18/9</f>
        <v>2909.7777777777778</v>
      </c>
      <c r="G18" s="141"/>
      <c r="H18" s="155">
        <f>H49</f>
        <v>2957.9</v>
      </c>
      <c r="I18" s="155">
        <f t="shared" ref="I18:J18" si="8">I49</f>
        <v>36420</v>
      </c>
      <c r="J18" s="156">
        <f t="shared" si="8"/>
        <v>3035</v>
      </c>
      <c r="K18" s="173"/>
    </row>
    <row r="19" spans="1:12" x14ac:dyDescent="0.35">
      <c r="A19" s="150" t="s">
        <v>95</v>
      </c>
      <c r="B19" s="150"/>
      <c r="C19" s="170">
        <f>C66</f>
        <v>253192.74000000002</v>
      </c>
      <c r="D19" s="141">
        <f t="shared" ref="D19:E19" si="9">D66</f>
        <v>88330</v>
      </c>
      <c r="E19" s="141">
        <f t="shared" si="9"/>
        <v>61701</v>
      </c>
      <c r="F19" s="141">
        <f t="shared" si="7"/>
        <v>6855.666666666667</v>
      </c>
      <c r="G19" s="141"/>
      <c r="H19" s="155">
        <f>H66</f>
        <v>2505.9</v>
      </c>
      <c r="I19" s="155">
        <f t="shared" ref="I19:J19" si="10">I66</f>
        <v>102267</v>
      </c>
      <c r="J19" s="156">
        <f t="shared" si="10"/>
        <v>8522.25</v>
      </c>
    </row>
    <row r="20" spans="1:12" x14ac:dyDescent="0.35">
      <c r="A20" s="150" t="s">
        <v>83</v>
      </c>
      <c r="B20" s="150"/>
      <c r="C20" s="170">
        <f>C79</f>
        <v>264872.60666666669</v>
      </c>
      <c r="D20" s="141">
        <f t="shared" ref="D20:E20" si="11">D79</f>
        <v>109130</v>
      </c>
      <c r="E20" s="141">
        <f t="shared" si="11"/>
        <v>94162</v>
      </c>
      <c r="F20" s="141">
        <f t="shared" si="7"/>
        <v>10462.444444444445</v>
      </c>
      <c r="G20" s="141"/>
      <c r="H20" s="155">
        <f>H79</f>
        <v>4209.97</v>
      </c>
      <c r="I20" s="155">
        <f t="shared" ref="I20:J20" si="12">I79</f>
        <v>128890</v>
      </c>
      <c r="J20" s="156">
        <f t="shared" si="12"/>
        <v>10740.833333333334</v>
      </c>
      <c r="K20" s="173"/>
    </row>
    <row r="21" spans="1:12" x14ac:dyDescent="0.35">
      <c r="A21" s="150" t="s">
        <v>302</v>
      </c>
      <c r="B21" s="150"/>
      <c r="C21" s="170">
        <f>C84</f>
        <v>429888.40333333332</v>
      </c>
      <c r="D21" s="141">
        <f t="shared" ref="D21:E21" si="13">D84</f>
        <v>132190</v>
      </c>
      <c r="E21" s="141">
        <f t="shared" si="13"/>
        <v>76650</v>
      </c>
      <c r="F21" s="141">
        <f t="shared" si="7"/>
        <v>8516.6666666666661</v>
      </c>
      <c r="G21" s="141"/>
      <c r="H21" s="155">
        <f>H84</f>
        <v>0</v>
      </c>
      <c r="I21" s="155">
        <f t="shared" ref="I21:J21" si="14">I84</f>
        <v>102190</v>
      </c>
      <c r="J21" s="156">
        <f t="shared" si="14"/>
        <v>8515.8333333333339</v>
      </c>
      <c r="K21" s="173"/>
    </row>
    <row r="22" spans="1:12" x14ac:dyDescent="0.35">
      <c r="A22" s="150" t="s">
        <v>84</v>
      </c>
      <c r="B22" s="150"/>
      <c r="C22" s="170">
        <f>C89</f>
        <v>38404</v>
      </c>
      <c r="D22" s="141">
        <f t="shared" ref="D22:E22" si="15">D89</f>
        <v>58500</v>
      </c>
      <c r="E22" s="141">
        <f t="shared" si="15"/>
        <v>30375</v>
      </c>
      <c r="F22" s="141">
        <f t="shared" si="7"/>
        <v>3375</v>
      </c>
      <c r="G22" s="141"/>
      <c r="H22" s="155">
        <f>H89</f>
        <v>0</v>
      </c>
      <c r="I22" s="155">
        <f t="shared" ref="I22:J22" si="16">I89</f>
        <v>58500</v>
      </c>
      <c r="J22" s="156">
        <f t="shared" si="16"/>
        <v>4875</v>
      </c>
      <c r="K22" s="178"/>
      <c r="L22" s="208"/>
    </row>
    <row r="23" spans="1:12" x14ac:dyDescent="0.35">
      <c r="A23" s="150" t="s">
        <v>85</v>
      </c>
      <c r="B23" s="150"/>
      <c r="C23" s="175">
        <f>C98</f>
        <v>130726.09666666666</v>
      </c>
      <c r="D23" s="164">
        <f t="shared" ref="D23:E23" si="17">D98</f>
        <v>38900</v>
      </c>
      <c r="E23" s="164">
        <f t="shared" si="17"/>
        <v>40664</v>
      </c>
      <c r="F23" s="164">
        <f>E23/9</f>
        <v>4518.2222222222226</v>
      </c>
      <c r="G23" s="141"/>
      <c r="H23" s="165">
        <f>H98</f>
        <v>0</v>
      </c>
      <c r="I23" s="165">
        <f>I98</f>
        <v>0</v>
      </c>
      <c r="J23" s="167">
        <f>J98</f>
        <v>0</v>
      </c>
      <c r="K23" s="178"/>
    </row>
    <row r="24" spans="1:12" x14ac:dyDescent="0.35">
      <c r="A24" s="150" t="s">
        <v>86</v>
      </c>
      <c r="B24" s="150"/>
      <c r="C24" s="179">
        <f>SUM(C17:C23)</f>
        <v>1504703.0366666666</v>
      </c>
      <c r="D24" s="200">
        <f t="shared" ref="D24:F24" si="18">SUM(D17:D23)</f>
        <v>510060</v>
      </c>
      <c r="E24" s="200">
        <f t="shared" si="18"/>
        <v>360256</v>
      </c>
      <c r="F24" s="200">
        <f t="shared" si="18"/>
        <v>40028.444444444438</v>
      </c>
      <c r="G24" s="141"/>
      <c r="H24" s="165">
        <f>SUM(H17:H23)</f>
        <v>11253.369999999999</v>
      </c>
      <c r="I24" s="209">
        <f t="shared" ref="I24:J24" si="19">SUM(I17:I23)</f>
        <v>482467</v>
      </c>
      <c r="J24" s="210">
        <f t="shared" si="19"/>
        <v>40205.583333333336</v>
      </c>
      <c r="K24" s="178"/>
    </row>
    <row r="25" spans="1:12" x14ac:dyDescent="0.35">
      <c r="A25" s="150"/>
      <c r="B25" s="150"/>
      <c r="C25" s="170"/>
      <c r="D25" s="141"/>
      <c r="E25" s="141"/>
      <c r="F25" s="141"/>
      <c r="G25" s="141"/>
      <c r="H25" s="155"/>
      <c r="I25" s="155"/>
      <c r="J25" s="156"/>
      <c r="K25" s="178"/>
    </row>
    <row r="26" spans="1:12" ht="21.75" thickBot="1" x14ac:dyDescent="0.4">
      <c r="A26" s="182" t="s">
        <v>87</v>
      </c>
      <c r="B26" s="183"/>
      <c r="C26" s="184">
        <f>SUM(-C15-C24)</f>
        <v>-484637.53999999992</v>
      </c>
      <c r="D26" s="185">
        <f>SUM(D15+D24)</f>
        <v>30710</v>
      </c>
      <c r="E26" s="185">
        <f t="shared" ref="E26:F26" si="20">SUM(E15+E24)</f>
        <v>-27090</v>
      </c>
      <c r="F26" s="185">
        <f t="shared" si="20"/>
        <v>-3010.0000000000073</v>
      </c>
      <c r="H26" s="186">
        <f>SUM(-H15-H24)</f>
        <v>-11000.769999999999</v>
      </c>
      <c r="I26" s="186">
        <f t="shared" ref="I26:J26" si="21">SUM(I15+I24)</f>
        <v>-20953</v>
      </c>
      <c r="J26" s="187">
        <f t="shared" si="21"/>
        <v>-1746.0833333333358</v>
      </c>
      <c r="K26" s="178"/>
    </row>
    <row r="27" spans="1:12" x14ac:dyDescent="0.35">
      <c r="A27" s="169" t="s">
        <v>454</v>
      </c>
      <c r="B27" s="150"/>
      <c r="C27" s="170"/>
      <c r="D27" s="170"/>
      <c r="E27" s="170"/>
      <c r="F27" s="170"/>
      <c r="G27" s="170"/>
      <c r="H27" s="171"/>
      <c r="I27" s="171"/>
      <c r="J27" s="172"/>
      <c r="K27" s="178"/>
    </row>
    <row r="28" spans="1:12" x14ac:dyDescent="0.35">
      <c r="A28" s="150" t="s">
        <v>39</v>
      </c>
      <c r="B28" s="150">
        <v>3</v>
      </c>
      <c r="C28" s="170">
        <v>18000</v>
      </c>
      <c r="D28" s="170">
        <v>6180</v>
      </c>
      <c r="E28" s="170">
        <v>4843</v>
      </c>
      <c r="F28" s="170">
        <f>E28/9</f>
        <v>538.11111111111109</v>
      </c>
      <c r="G28" s="170"/>
      <c r="H28" s="171">
        <f>D28*$M$9</f>
        <v>185.4</v>
      </c>
      <c r="I28" s="171">
        <v>6500</v>
      </c>
      <c r="J28" s="172">
        <f t="shared" ref="J28:J41" si="22">I28/12</f>
        <v>541.66666666666663</v>
      </c>
      <c r="L28" s="134">
        <f t="shared" ref="L28:L41" si="23">SUM(E28)+(F28*3)*1.03</f>
        <v>6505.7633333333333</v>
      </c>
    </row>
    <row r="29" spans="1:12" hidden="1" x14ac:dyDescent="0.35">
      <c r="A29" s="150" t="s">
        <v>40</v>
      </c>
      <c r="B29" s="150">
        <v>3</v>
      </c>
      <c r="C29" s="151">
        <f>10588.22-103</f>
        <v>10485.219999999999</v>
      </c>
      <c r="D29" s="141">
        <v>0</v>
      </c>
      <c r="E29" s="170">
        <v>0</v>
      </c>
      <c r="F29" s="170">
        <f t="shared" ref="F29:F40" si="24">E29/9</f>
        <v>0</v>
      </c>
      <c r="G29" s="170"/>
      <c r="H29" s="171">
        <f>D29*$N$8</f>
        <v>0</v>
      </c>
      <c r="I29" s="171">
        <v>0</v>
      </c>
      <c r="J29" s="172">
        <f t="shared" si="22"/>
        <v>0</v>
      </c>
      <c r="L29" s="134">
        <f t="shared" si="23"/>
        <v>0</v>
      </c>
    </row>
    <row r="30" spans="1:12" x14ac:dyDescent="0.35">
      <c r="A30" s="150" t="s">
        <v>41</v>
      </c>
      <c r="B30" s="150">
        <v>3</v>
      </c>
      <c r="C30" s="170">
        <f>280+187</f>
        <v>467</v>
      </c>
      <c r="D30" s="170">
        <v>160</v>
      </c>
      <c r="E30" s="170">
        <v>113</v>
      </c>
      <c r="F30" s="170">
        <f t="shared" si="24"/>
        <v>12.555555555555555</v>
      </c>
      <c r="G30" s="170"/>
      <c r="H30" s="171">
        <f>D30*$M$9</f>
        <v>4.8</v>
      </c>
      <c r="I30" s="171">
        <v>150</v>
      </c>
      <c r="J30" s="172">
        <f t="shared" si="22"/>
        <v>12.5</v>
      </c>
      <c r="L30" s="134">
        <f t="shared" si="23"/>
        <v>151.79666666666668</v>
      </c>
    </row>
    <row r="31" spans="1:12" x14ac:dyDescent="0.35">
      <c r="A31" s="150" t="s">
        <v>432</v>
      </c>
      <c r="B31" s="150">
        <v>3</v>
      </c>
      <c r="C31" s="170">
        <f>307+3333</f>
        <v>3640</v>
      </c>
      <c r="D31" s="170">
        <v>1150</v>
      </c>
      <c r="E31" s="170">
        <v>946</v>
      </c>
      <c r="F31" s="170">
        <f t="shared" si="24"/>
        <v>105.11111111111111</v>
      </c>
      <c r="G31" s="170"/>
      <c r="H31" s="171">
        <f>D31*$M$9</f>
        <v>34.5</v>
      </c>
      <c r="I31" s="171">
        <v>1270</v>
      </c>
      <c r="J31" s="172">
        <f t="shared" si="22"/>
        <v>105.83333333333333</v>
      </c>
      <c r="L31" s="134">
        <f t="shared" si="23"/>
        <v>1270.7933333333335</v>
      </c>
    </row>
    <row r="32" spans="1:12" x14ac:dyDescent="0.35">
      <c r="A32" s="150" t="s">
        <v>276</v>
      </c>
      <c r="B32" s="150">
        <v>3</v>
      </c>
      <c r="C32" s="170">
        <f>47735.26+14837</f>
        <v>62572.26</v>
      </c>
      <c r="D32" s="170">
        <v>23960</v>
      </c>
      <c r="E32" s="170">
        <v>19351</v>
      </c>
      <c r="F32" s="170">
        <f t="shared" si="24"/>
        <v>2150.1111111111113</v>
      </c>
      <c r="G32" s="170"/>
      <c r="H32" s="171">
        <f>D32*$M$7</f>
        <v>1198</v>
      </c>
      <c r="I32" s="171">
        <v>25170</v>
      </c>
      <c r="J32" s="172">
        <f t="shared" si="22"/>
        <v>2097.5</v>
      </c>
      <c r="K32" s="213" t="s">
        <v>639</v>
      </c>
      <c r="L32" s="134">
        <f>(I15-I10)*(1)*0.05</f>
        <v>-25168</v>
      </c>
    </row>
    <row r="33" spans="1:15" x14ac:dyDescent="0.35">
      <c r="A33" s="150" t="s">
        <v>305</v>
      </c>
      <c r="B33" s="150">
        <v>3</v>
      </c>
      <c r="C33" s="151">
        <f>86765.11+45177</f>
        <v>131942.10999999999</v>
      </c>
      <c r="D33" s="141">
        <v>0</v>
      </c>
      <c r="E33" s="170">
        <v>0</v>
      </c>
      <c r="F33" s="170">
        <f t="shared" si="24"/>
        <v>0</v>
      </c>
      <c r="G33" s="170"/>
      <c r="H33" s="171">
        <f t="shared" ref="H33" si="25">D33*$N$8</f>
        <v>0</v>
      </c>
      <c r="I33" s="171">
        <v>14550</v>
      </c>
      <c r="J33" s="172">
        <f t="shared" si="22"/>
        <v>1212.5</v>
      </c>
      <c r="K33" s="173" t="s">
        <v>659</v>
      </c>
      <c r="L33" s="134">
        <f t="shared" si="23"/>
        <v>0</v>
      </c>
    </row>
    <row r="34" spans="1:15" x14ac:dyDescent="0.35">
      <c r="A34" s="150" t="s">
        <v>277</v>
      </c>
      <c r="B34" s="150">
        <v>3</v>
      </c>
      <c r="C34" s="170">
        <v>145</v>
      </c>
      <c r="D34" s="170">
        <v>120</v>
      </c>
      <c r="E34" s="170">
        <v>2076</v>
      </c>
      <c r="F34" s="170">
        <f t="shared" si="24"/>
        <v>230.66666666666666</v>
      </c>
      <c r="G34" s="170"/>
      <c r="H34" s="171">
        <f>D34*$M$9</f>
        <v>3.5999999999999996</v>
      </c>
      <c r="I34" s="171">
        <v>500</v>
      </c>
      <c r="J34" s="172">
        <f t="shared" si="22"/>
        <v>41.666666666666664</v>
      </c>
      <c r="L34" s="134">
        <f t="shared" si="23"/>
        <v>2788.76</v>
      </c>
    </row>
    <row r="35" spans="1:15" x14ac:dyDescent="0.35">
      <c r="A35" s="150" t="s">
        <v>43</v>
      </c>
      <c r="B35" s="150">
        <v>3</v>
      </c>
      <c r="C35" s="170">
        <f>964+3113</f>
        <v>4077</v>
      </c>
      <c r="D35" s="170">
        <v>1580</v>
      </c>
      <c r="E35" s="170">
        <v>968</v>
      </c>
      <c r="F35" s="170">
        <f t="shared" si="24"/>
        <v>107.55555555555556</v>
      </c>
      <c r="G35" s="170"/>
      <c r="H35" s="171">
        <f>D35*$M$9</f>
        <v>47.4</v>
      </c>
      <c r="I35" s="171">
        <v>1300</v>
      </c>
      <c r="J35" s="172">
        <f t="shared" si="22"/>
        <v>108.33333333333333</v>
      </c>
      <c r="L35" s="134">
        <f t="shared" si="23"/>
        <v>1300.3466666666668</v>
      </c>
    </row>
    <row r="36" spans="1:15" hidden="1" x14ac:dyDescent="0.35">
      <c r="A36" s="150" t="s">
        <v>338</v>
      </c>
      <c r="B36" s="150">
        <v>3</v>
      </c>
      <c r="C36" s="151">
        <f>755.65+3</f>
        <v>758.65</v>
      </c>
      <c r="D36" s="141">
        <v>0</v>
      </c>
      <c r="E36" s="170">
        <v>0</v>
      </c>
      <c r="F36" s="170">
        <f t="shared" si="24"/>
        <v>0</v>
      </c>
      <c r="G36" s="170"/>
      <c r="H36" s="171">
        <f t="shared" ref="H36:H37" si="26">D36*$N$8</f>
        <v>0</v>
      </c>
      <c r="I36" s="171">
        <v>0</v>
      </c>
      <c r="J36" s="172">
        <f t="shared" si="22"/>
        <v>0</v>
      </c>
      <c r="L36" s="134">
        <f t="shared" si="23"/>
        <v>0</v>
      </c>
    </row>
    <row r="37" spans="1:15" hidden="1" x14ac:dyDescent="0.35">
      <c r="A37" s="150" t="s">
        <v>278</v>
      </c>
      <c r="B37" s="150">
        <v>3</v>
      </c>
      <c r="C37" s="151">
        <f>6528.88+227</f>
        <v>6755.88</v>
      </c>
      <c r="D37" s="141">
        <v>0</v>
      </c>
      <c r="E37" s="170">
        <v>0</v>
      </c>
      <c r="F37" s="170">
        <f t="shared" si="24"/>
        <v>0</v>
      </c>
      <c r="G37" s="170"/>
      <c r="H37" s="171">
        <f t="shared" si="26"/>
        <v>0</v>
      </c>
      <c r="I37" s="171">
        <v>0</v>
      </c>
      <c r="J37" s="172">
        <f t="shared" si="22"/>
        <v>0</v>
      </c>
      <c r="L37" s="134">
        <f t="shared" si="23"/>
        <v>0</v>
      </c>
    </row>
    <row r="38" spans="1:15" x14ac:dyDescent="0.35">
      <c r="A38" s="150" t="s">
        <v>44</v>
      </c>
      <c r="B38" s="150">
        <v>3</v>
      </c>
      <c r="C38" s="170">
        <f>3964.83666666667-3</f>
        <v>3961.8366666666702</v>
      </c>
      <c r="D38" s="170">
        <v>1820</v>
      </c>
      <c r="E38" s="170">
        <v>954</v>
      </c>
      <c r="F38" s="170">
        <f t="shared" si="24"/>
        <v>106</v>
      </c>
      <c r="G38" s="170"/>
      <c r="H38" s="171">
        <f>D38*$M$9</f>
        <v>54.6</v>
      </c>
      <c r="I38" s="171">
        <v>1820</v>
      </c>
      <c r="J38" s="172">
        <f t="shared" si="22"/>
        <v>151.66666666666666</v>
      </c>
      <c r="L38" s="134">
        <f t="shared" si="23"/>
        <v>1281.54</v>
      </c>
    </row>
    <row r="39" spans="1:15" x14ac:dyDescent="0.35">
      <c r="A39" s="150" t="s">
        <v>45</v>
      </c>
      <c r="B39" s="150">
        <v>3</v>
      </c>
      <c r="C39" s="170">
        <f>929+4</f>
        <v>933</v>
      </c>
      <c r="D39" s="170">
        <v>0</v>
      </c>
      <c r="E39" s="170">
        <v>0</v>
      </c>
      <c r="F39" s="170">
        <f t="shared" si="24"/>
        <v>0</v>
      </c>
      <c r="G39" s="253"/>
      <c r="H39" s="253"/>
      <c r="I39" s="229">
        <v>1240</v>
      </c>
      <c r="J39" s="234">
        <f t="shared" si="22"/>
        <v>103.33333333333333</v>
      </c>
      <c r="K39" s="173" t="s">
        <v>652</v>
      </c>
      <c r="L39" s="134">
        <f t="shared" ref="L39" si="27">SUM(E39)+(G39*3)*1.03</f>
        <v>0</v>
      </c>
    </row>
    <row r="40" spans="1:15" x14ac:dyDescent="0.35">
      <c r="A40" s="150" t="s">
        <v>254</v>
      </c>
      <c r="B40" s="150">
        <v>3</v>
      </c>
      <c r="C40" s="170">
        <f>5937.37-2908</f>
        <v>3029.37</v>
      </c>
      <c r="D40" s="170">
        <v>1040</v>
      </c>
      <c r="E40" s="170">
        <v>790</v>
      </c>
      <c r="F40" s="170">
        <f t="shared" si="24"/>
        <v>87.777777777777771</v>
      </c>
      <c r="G40" s="170"/>
      <c r="H40" s="171">
        <f>D40*$M$9</f>
        <v>31.2</v>
      </c>
      <c r="I40" s="171">
        <v>1060</v>
      </c>
      <c r="J40" s="172">
        <f t="shared" si="22"/>
        <v>88.333333333333329</v>
      </c>
      <c r="L40" s="134">
        <f t="shared" si="23"/>
        <v>1061.2333333333333</v>
      </c>
    </row>
    <row r="41" spans="1:15" x14ac:dyDescent="0.35">
      <c r="A41" s="150" t="s">
        <v>46</v>
      </c>
      <c r="B41" s="150">
        <v>3</v>
      </c>
      <c r="C41" s="175">
        <f>1619.92+331</f>
        <v>1950.92</v>
      </c>
      <c r="D41" s="175">
        <v>670</v>
      </c>
      <c r="E41" s="175">
        <v>475</v>
      </c>
      <c r="F41" s="175">
        <f>E41/9</f>
        <v>52.777777777777779</v>
      </c>
      <c r="G41" s="141"/>
      <c r="H41" s="176">
        <f>D41*$M$9</f>
        <v>20.099999999999998</v>
      </c>
      <c r="I41" s="176">
        <v>640</v>
      </c>
      <c r="J41" s="177">
        <f t="shared" si="22"/>
        <v>53.333333333333336</v>
      </c>
      <c r="L41" s="134">
        <f t="shared" si="23"/>
        <v>638.08333333333337</v>
      </c>
    </row>
    <row r="42" spans="1:15" x14ac:dyDescent="0.35">
      <c r="A42" s="169" t="s">
        <v>88</v>
      </c>
      <c r="B42" s="150"/>
      <c r="C42" s="170">
        <f t="shared" ref="C42:J42" si="28">SUM(C28:C41)</f>
        <v>248718.24666666667</v>
      </c>
      <c r="D42" s="170">
        <f t="shared" si="28"/>
        <v>36680</v>
      </c>
      <c r="E42" s="170">
        <f t="shared" si="28"/>
        <v>30516</v>
      </c>
      <c r="F42" s="170">
        <f>SUM(F28:F41)</f>
        <v>3390.666666666667</v>
      </c>
      <c r="G42" s="141"/>
      <c r="H42" s="171">
        <f t="shared" si="28"/>
        <v>1579.6</v>
      </c>
      <c r="I42" s="171">
        <f t="shared" si="28"/>
        <v>54200</v>
      </c>
      <c r="J42" s="172">
        <f t="shared" si="28"/>
        <v>4516.6666666666661</v>
      </c>
    </row>
    <row r="43" spans="1:15" x14ac:dyDescent="0.35">
      <c r="A43" s="169"/>
      <c r="B43" s="150"/>
      <c r="C43" s="170"/>
      <c r="D43" s="170"/>
      <c r="E43" s="170"/>
      <c r="F43" s="170"/>
      <c r="G43" s="170"/>
      <c r="H43" s="171"/>
      <c r="I43" s="171"/>
      <c r="J43" s="172"/>
    </row>
    <row r="44" spans="1:15" x14ac:dyDescent="0.35">
      <c r="A44" s="169" t="s">
        <v>455</v>
      </c>
      <c r="B44" s="150"/>
      <c r="C44" s="170"/>
      <c r="D44" s="170"/>
      <c r="E44" s="170"/>
      <c r="F44" s="170"/>
      <c r="G44" s="170"/>
      <c r="H44" s="171"/>
      <c r="I44" s="171"/>
      <c r="J44" s="172"/>
    </row>
    <row r="45" spans="1:15" x14ac:dyDescent="0.35">
      <c r="A45" s="150" t="s">
        <v>227</v>
      </c>
      <c r="B45" s="150">
        <v>3</v>
      </c>
      <c r="C45" s="170">
        <f>16171.95+9565</f>
        <v>25736.95</v>
      </c>
      <c r="D45" s="170">
        <v>8240</v>
      </c>
      <c r="E45" s="170">
        <v>6170</v>
      </c>
      <c r="F45" s="170">
        <f>E45/9</f>
        <v>685.55555555555554</v>
      </c>
      <c r="G45" s="170"/>
      <c r="H45" s="171">
        <f>D45*$O$45</f>
        <v>576.80000000000007</v>
      </c>
      <c r="I45" s="171">
        <v>8550</v>
      </c>
      <c r="J45" s="172">
        <f t="shared" ref="J45:J49" si="29">I45/12</f>
        <v>712.5</v>
      </c>
      <c r="K45" s="173" t="s">
        <v>530</v>
      </c>
      <c r="O45" s="188">
        <v>7.0000000000000007E-2</v>
      </c>
    </row>
    <row r="46" spans="1:15" x14ac:dyDescent="0.35">
      <c r="A46" s="150" t="s">
        <v>47</v>
      </c>
      <c r="B46" s="150">
        <v>3</v>
      </c>
      <c r="C46" s="170">
        <f>15955.54+3103</f>
        <v>19058.54</v>
      </c>
      <c r="D46" s="170">
        <v>6670</v>
      </c>
      <c r="E46" s="170">
        <v>4475</v>
      </c>
      <c r="F46" s="170">
        <f t="shared" ref="F46:F47" si="30">E46/9</f>
        <v>497.22222222222223</v>
      </c>
      <c r="G46" s="170"/>
      <c r="H46" s="171">
        <f>D46*$O$46</f>
        <v>333.5</v>
      </c>
      <c r="I46" s="171">
        <v>6200</v>
      </c>
      <c r="J46" s="172">
        <f t="shared" si="29"/>
        <v>516.66666666666663</v>
      </c>
      <c r="K46" s="173" t="s">
        <v>531</v>
      </c>
      <c r="L46" s="134">
        <f>SUM((E46+(F46*3))*1.04)</f>
        <v>6205.3333333333339</v>
      </c>
      <c r="O46" s="188">
        <v>0.05</v>
      </c>
    </row>
    <row r="47" spans="1:15" x14ac:dyDescent="0.35">
      <c r="A47" s="150" t="s">
        <v>48</v>
      </c>
      <c r="B47" s="150">
        <v>3</v>
      </c>
      <c r="C47" s="170">
        <f>47876.08+24545</f>
        <v>72421.08</v>
      </c>
      <c r="D47" s="170">
        <v>23830</v>
      </c>
      <c r="E47" s="170">
        <v>9397</v>
      </c>
      <c r="F47" s="170">
        <f t="shared" si="30"/>
        <v>1044.1111111111111</v>
      </c>
      <c r="G47" s="170"/>
      <c r="H47" s="171">
        <f>D47*$O$47</f>
        <v>1668.1000000000001</v>
      </c>
      <c r="I47" s="171">
        <v>13150</v>
      </c>
      <c r="J47" s="172">
        <f t="shared" si="29"/>
        <v>1095.8333333333333</v>
      </c>
      <c r="K47" s="173" t="s">
        <v>590</v>
      </c>
      <c r="L47" s="134">
        <f>SUM((E47+(F47*3))*1.05)</f>
        <v>13155.8</v>
      </c>
      <c r="O47" s="188">
        <v>7.0000000000000007E-2</v>
      </c>
    </row>
    <row r="48" spans="1:15" x14ac:dyDescent="0.35">
      <c r="A48" s="150" t="s">
        <v>49</v>
      </c>
      <c r="B48" s="150">
        <v>3</v>
      </c>
      <c r="C48" s="175">
        <f>21683.3733333333+1</f>
        <v>21684.3733333333</v>
      </c>
      <c r="D48" s="175">
        <v>7590</v>
      </c>
      <c r="E48" s="175">
        <v>6146</v>
      </c>
      <c r="F48" s="175">
        <f>E48/9</f>
        <v>682.88888888888891</v>
      </c>
      <c r="G48" s="141"/>
      <c r="H48" s="176">
        <f>D48*$O$48</f>
        <v>379.5</v>
      </c>
      <c r="I48" s="176">
        <v>8520</v>
      </c>
      <c r="J48" s="177">
        <f t="shared" si="29"/>
        <v>710</v>
      </c>
      <c r="K48" s="173" t="s">
        <v>531</v>
      </c>
      <c r="L48" s="134">
        <f>SUM((E48+(F48*3))*1.04)</f>
        <v>8522.4533333333347</v>
      </c>
      <c r="O48" s="188">
        <v>0.05</v>
      </c>
    </row>
    <row r="49" spans="1:12" x14ac:dyDescent="0.35">
      <c r="A49" s="169" t="s">
        <v>307</v>
      </c>
      <c r="B49" s="150"/>
      <c r="C49" s="170">
        <f>SUM(C45:C48)</f>
        <v>138900.9433333333</v>
      </c>
      <c r="D49" s="170">
        <f>SUM(D45:D48)</f>
        <v>46330</v>
      </c>
      <c r="E49" s="170">
        <f>SUM(E45:E48)</f>
        <v>26188</v>
      </c>
      <c r="F49" s="170">
        <f>SUM(F45:F48)</f>
        <v>2909.7777777777774</v>
      </c>
      <c r="G49" s="141"/>
      <c r="H49" s="171">
        <f>SUM(H45:H48)</f>
        <v>2957.9</v>
      </c>
      <c r="I49" s="171">
        <f>SUM(I45:I48)</f>
        <v>36420</v>
      </c>
      <c r="J49" s="172">
        <f t="shared" si="29"/>
        <v>3035</v>
      </c>
      <c r="K49" s="173"/>
    </row>
    <row r="50" spans="1:12" x14ac:dyDescent="0.35">
      <c r="A50" s="150"/>
      <c r="B50" s="150"/>
      <c r="C50" s="170"/>
      <c r="D50" s="170"/>
      <c r="E50" s="170"/>
      <c r="F50" s="170"/>
      <c r="G50" s="170"/>
      <c r="H50" s="171"/>
      <c r="I50" s="171"/>
      <c r="J50" s="172"/>
      <c r="K50" s="173"/>
    </row>
    <row r="51" spans="1:12" x14ac:dyDescent="0.35">
      <c r="A51" s="169" t="s">
        <v>456</v>
      </c>
      <c r="B51" s="150"/>
      <c r="C51" s="170"/>
      <c r="D51" s="170"/>
      <c r="E51" s="170"/>
      <c r="F51" s="170"/>
      <c r="G51" s="170"/>
      <c r="H51" s="171"/>
      <c r="I51" s="171"/>
      <c r="J51" s="172"/>
      <c r="K51" s="173"/>
    </row>
    <row r="52" spans="1:12" x14ac:dyDescent="0.35">
      <c r="A52" s="150" t="s">
        <v>50</v>
      </c>
      <c r="B52" s="150">
        <v>3</v>
      </c>
      <c r="C52" s="170">
        <f>72+103</f>
        <v>175</v>
      </c>
      <c r="D52" s="170">
        <v>60</v>
      </c>
      <c r="E52" s="170">
        <v>0</v>
      </c>
      <c r="F52" s="170">
        <f>E52/9</f>
        <v>0</v>
      </c>
      <c r="G52" s="170"/>
      <c r="H52" s="171">
        <f t="shared" ref="H52:H60" si="31">D52*$M$9</f>
        <v>1.7999999999999998</v>
      </c>
      <c r="I52" s="171">
        <v>60</v>
      </c>
      <c r="J52" s="172">
        <f t="shared" ref="J52:J66" si="32">I52/12</f>
        <v>5</v>
      </c>
      <c r="L52" s="134">
        <f>SUM(E52)+(F52*3)*1.03</f>
        <v>0</v>
      </c>
    </row>
    <row r="53" spans="1:12" x14ac:dyDescent="0.35">
      <c r="A53" s="150" t="s">
        <v>51</v>
      </c>
      <c r="B53" s="150">
        <v>3</v>
      </c>
      <c r="C53" s="170">
        <f>27718+7379</f>
        <v>35097</v>
      </c>
      <c r="D53" s="170">
        <v>14450</v>
      </c>
      <c r="E53" s="170">
        <v>7760</v>
      </c>
      <c r="F53" s="170">
        <f t="shared" ref="F53:F63" si="33">E53/9</f>
        <v>862.22222222222217</v>
      </c>
      <c r="G53" s="170"/>
      <c r="H53" s="171">
        <f t="shared" si="31"/>
        <v>433.5</v>
      </c>
      <c r="I53" s="171">
        <v>10420</v>
      </c>
      <c r="J53" s="172">
        <f t="shared" si="32"/>
        <v>868.33333333333337</v>
      </c>
      <c r="K53" s="173" t="s">
        <v>660</v>
      </c>
      <c r="L53" s="134">
        <f t="shared" ref="L53:L60" si="34">SUM(E53)+(F53*3)*1.03</f>
        <v>10424.266666666666</v>
      </c>
    </row>
    <row r="54" spans="1:12" x14ac:dyDescent="0.35">
      <c r="A54" s="150" t="s">
        <v>308</v>
      </c>
      <c r="B54" s="150">
        <v>3</v>
      </c>
      <c r="C54" s="170">
        <f>2694+219</f>
        <v>2913</v>
      </c>
      <c r="D54" s="170">
        <v>1110</v>
      </c>
      <c r="E54" s="170">
        <v>135</v>
      </c>
      <c r="F54" s="170">
        <f t="shared" si="33"/>
        <v>15</v>
      </c>
      <c r="G54" s="170"/>
      <c r="H54" s="171">
        <f t="shared" si="31"/>
        <v>33.299999999999997</v>
      </c>
      <c r="I54" s="171">
        <v>300</v>
      </c>
      <c r="J54" s="172">
        <f t="shared" si="32"/>
        <v>25</v>
      </c>
      <c r="L54" s="134">
        <f t="shared" si="34"/>
        <v>181.35</v>
      </c>
    </row>
    <row r="55" spans="1:12" x14ac:dyDescent="0.35">
      <c r="A55" s="150" t="s">
        <v>53</v>
      </c>
      <c r="B55" s="150">
        <v>3</v>
      </c>
      <c r="C55" s="170">
        <f>7486.14+4718</f>
        <v>12204.14</v>
      </c>
      <c r="D55" s="170">
        <v>3800</v>
      </c>
      <c r="E55" s="170">
        <v>2668</v>
      </c>
      <c r="F55" s="170">
        <f t="shared" si="33"/>
        <v>296.44444444444446</v>
      </c>
      <c r="G55" s="170"/>
      <c r="H55" s="171">
        <f t="shared" si="31"/>
        <v>114</v>
      </c>
      <c r="I55" s="171">
        <v>3590</v>
      </c>
      <c r="J55" s="172">
        <f t="shared" si="32"/>
        <v>299.16666666666669</v>
      </c>
      <c r="K55" s="173" t="s">
        <v>570</v>
      </c>
      <c r="L55" s="134">
        <f>SUM(E55)+(F55*3)*1.04</f>
        <v>3592.9066666666668</v>
      </c>
    </row>
    <row r="56" spans="1:12" x14ac:dyDescent="0.35">
      <c r="A56" s="150" t="s">
        <v>370</v>
      </c>
      <c r="B56" s="150">
        <v>3</v>
      </c>
      <c r="C56" s="170">
        <v>0</v>
      </c>
      <c r="D56" s="170">
        <v>120</v>
      </c>
      <c r="E56" s="170">
        <v>0</v>
      </c>
      <c r="F56" s="170">
        <f t="shared" si="33"/>
        <v>0</v>
      </c>
      <c r="G56" s="170"/>
      <c r="H56" s="171">
        <f t="shared" si="31"/>
        <v>3.5999999999999996</v>
      </c>
      <c r="I56" s="171">
        <v>120</v>
      </c>
      <c r="J56" s="172">
        <f t="shared" si="32"/>
        <v>10</v>
      </c>
      <c r="L56" s="134">
        <f t="shared" si="34"/>
        <v>0</v>
      </c>
    </row>
    <row r="57" spans="1:12" x14ac:dyDescent="0.35">
      <c r="A57" s="150" t="s">
        <v>369</v>
      </c>
      <c r="B57" s="150">
        <v>3</v>
      </c>
      <c r="C57" s="170">
        <f>17256+7647</f>
        <v>24903</v>
      </c>
      <c r="D57" s="170">
        <v>6860</v>
      </c>
      <c r="E57" s="170">
        <v>6019</v>
      </c>
      <c r="F57" s="170">
        <f t="shared" si="33"/>
        <v>668.77777777777783</v>
      </c>
      <c r="G57" s="170"/>
      <c r="H57" s="171">
        <f t="shared" si="31"/>
        <v>205.79999999999998</v>
      </c>
      <c r="I57" s="171">
        <v>8080</v>
      </c>
      <c r="J57" s="172">
        <f t="shared" si="32"/>
        <v>673.33333333333337</v>
      </c>
      <c r="K57" s="173" t="s">
        <v>609</v>
      </c>
      <c r="L57" s="134">
        <f t="shared" si="34"/>
        <v>8085.5233333333335</v>
      </c>
    </row>
    <row r="58" spans="1:12" x14ac:dyDescent="0.35">
      <c r="A58" s="150" t="s">
        <v>56</v>
      </c>
      <c r="B58" s="150">
        <v>3</v>
      </c>
      <c r="C58" s="170">
        <f>67716.68+25953</f>
        <v>93669.68</v>
      </c>
      <c r="D58" s="170">
        <v>30100</v>
      </c>
      <c r="E58" s="170">
        <v>25345</v>
      </c>
      <c r="F58" s="170">
        <f t="shared" si="33"/>
        <v>2816.1111111111113</v>
      </c>
      <c r="G58" s="170"/>
      <c r="H58" s="171">
        <f t="shared" si="31"/>
        <v>903</v>
      </c>
      <c r="I58" s="171">
        <v>34040</v>
      </c>
      <c r="J58" s="172">
        <f t="shared" si="32"/>
        <v>2836.6666666666665</v>
      </c>
      <c r="L58" s="134">
        <f t="shared" si="34"/>
        <v>34046.783333333333</v>
      </c>
    </row>
    <row r="59" spans="1:12" x14ac:dyDescent="0.35">
      <c r="A59" s="150" t="s">
        <v>257</v>
      </c>
      <c r="B59" s="150">
        <v>3</v>
      </c>
      <c r="C59" s="170">
        <f>42815-8737</f>
        <v>34078</v>
      </c>
      <c r="D59" s="170">
        <v>9330</v>
      </c>
      <c r="E59" s="170">
        <v>5497</v>
      </c>
      <c r="F59" s="170">
        <f t="shared" si="33"/>
        <v>610.77777777777783</v>
      </c>
      <c r="G59" s="170"/>
      <c r="H59" s="171">
        <f t="shared" si="31"/>
        <v>279.89999999999998</v>
      </c>
      <c r="I59" s="171">
        <v>7380</v>
      </c>
      <c r="J59" s="172">
        <f t="shared" si="32"/>
        <v>615</v>
      </c>
      <c r="L59" s="134">
        <f t="shared" si="34"/>
        <v>7384.3033333333333</v>
      </c>
    </row>
    <row r="60" spans="1:12" x14ac:dyDescent="0.35">
      <c r="A60" s="150" t="s">
        <v>55</v>
      </c>
      <c r="B60" s="150">
        <v>3</v>
      </c>
      <c r="C60" s="170">
        <f>41640-16009</f>
        <v>25631</v>
      </c>
      <c r="D60" s="170">
        <v>8800</v>
      </c>
      <c r="E60" s="170">
        <v>7472</v>
      </c>
      <c r="F60" s="170">
        <f t="shared" si="33"/>
        <v>830.22222222222217</v>
      </c>
      <c r="G60" s="170"/>
      <c r="H60" s="171">
        <f t="shared" si="31"/>
        <v>264</v>
      </c>
      <c r="I60" s="171">
        <f>10040+4500</f>
        <v>14540</v>
      </c>
      <c r="J60" s="172">
        <f t="shared" si="32"/>
        <v>1211.6666666666667</v>
      </c>
      <c r="K60" s="134" t="s">
        <v>661</v>
      </c>
      <c r="L60" s="134">
        <f t="shared" si="34"/>
        <v>10037.386666666667</v>
      </c>
    </row>
    <row r="61" spans="1:12" x14ac:dyDescent="0.35">
      <c r="A61" s="150" t="s">
        <v>526</v>
      </c>
      <c r="B61" s="150"/>
      <c r="C61" s="151"/>
      <c r="D61" s="170">
        <v>0</v>
      </c>
      <c r="E61" s="170">
        <v>0</v>
      </c>
      <c r="F61" s="170">
        <f t="shared" si="33"/>
        <v>0</v>
      </c>
      <c r="G61" s="253"/>
      <c r="H61" s="253"/>
      <c r="I61" s="171">
        <v>6000</v>
      </c>
      <c r="J61" s="172">
        <f t="shared" si="32"/>
        <v>500</v>
      </c>
      <c r="K61" s="173" t="s">
        <v>623</v>
      </c>
      <c r="L61" s="134">
        <f t="shared" ref="L61:L65" si="35">SUM((E61+(F61*3))*1.03)</f>
        <v>0</v>
      </c>
    </row>
    <row r="62" spans="1:12" x14ac:dyDescent="0.35">
      <c r="A62" s="150" t="s">
        <v>527</v>
      </c>
      <c r="B62" s="150"/>
      <c r="C62" s="151"/>
      <c r="D62" s="170">
        <v>0</v>
      </c>
      <c r="E62" s="170">
        <v>0</v>
      </c>
      <c r="F62" s="170">
        <f t="shared" si="33"/>
        <v>0</v>
      </c>
      <c r="G62" s="253"/>
      <c r="H62" s="253"/>
      <c r="I62" s="171">
        <v>3000</v>
      </c>
      <c r="J62" s="172">
        <f t="shared" si="32"/>
        <v>250</v>
      </c>
      <c r="K62" s="173" t="s">
        <v>623</v>
      </c>
      <c r="L62" s="134">
        <f t="shared" si="35"/>
        <v>0</v>
      </c>
    </row>
    <row r="63" spans="1:12" x14ac:dyDescent="0.35">
      <c r="A63" s="150" t="s">
        <v>374</v>
      </c>
      <c r="B63" s="150">
        <v>3</v>
      </c>
      <c r="C63" s="170">
        <v>3841.88</v>
      </c>
      <c r="D63" s="170">
        <v>4800</v>
      </c>
      <c r="E63" s="170">
        <v>0</v>
      </c>
      <c r="F63" s="170">
        <f t="shared" si="33"/>
        <v>0</v>
      </c>
      <c r="G63" s="170"/>
      <c r="H63" s="171">
        <v>0</v>
      </c>
      <c r="I63" s="171">
        <v>4800</v>
      </c>
      <c r="J63" s="172">
        <f t="shared" si="32"/>
        <v>400</v>
      </c>
      <c r="K63" s="173" t="s">
        <v>629</v>
      </c>
      <c r="L63" s="134">
        <f t="shared" si="35"/>
        <v>0</v>
      </c>
    </row>
    <row r="64" spans="1:12" hidden="1" x14ac:dyDescent="0.35">
      <c r="A64" s="150" t="s">
        <v>376</v>
      </c>
      <c r="B64" s="150">
        <v>3</v>
      </c>
      <c r="C64" s="170">
        <v>0</v>
      </c>
      <c r="D64" s="170">
        <v>0</v>
      </c>
      <c r="E64" s="170">
        <f t="shared" ref="E64" si="36">D64/12</f>
        <v>0</v>
      </c>
      <c r="F64" s="170">
        <f t="shared" ref="F64" si="37">E64/9*12</f>
        <v>0</v>
      </c>
      <c r="G64" s="170"/>
      <c r="H64" s="171">
        <f>D64*$M$9</f>
        <v>0</v>
      </c>
      <c r="I64" s="171">
        <f t="shared" ref="I64" si="38">D64+H64</f>
        <v>0</v>
      </c>
      <c r="J64" s="172">
        <f t="shared" si="32"/>
        <v>0</v>
      </c>
      <c r="L64" s="134">
        <f t="shared" si="35"/>
        <v>0</v>
      </c>
    </row>
    <row r="65" spans="1:15" x14ac:dyDescent="0.35">
      <c r="A65" s="150" t="s">
        <v>57</v>
      </c>
      <c r="B65" s="150">
        <v>3</v>
      </c>
      <c r="C65" s="175">
        <f>21021.04-341</f>
        <v>20680.04</v>
      </c>
      <c r="D65" s="175">
        <v>8900</v>
      </c>
      <c r="E65" s="175">
        <v>6805</v>
      </c>
      <c r="F65" s="175">
        <f>E65/9</f>
        <v>756.11111111111109</v>
      </c>
      <c r="G65" s="141"/>
      <c r="H65" s="176">
        <f>D65*$M$9</f>
        <v>267</v>
      </c>
      <c r="I65" s="176">
        <v>9937</v>
      </c>
      <c r="J65" s="177">
        <f t="shared" si="32"/>
        <v>828.08333333333337</v>
      </c>
      <c r="K65" s="134" t="s">
        <v>655</v>
      </c>
      <c r="L65" s="134">
        <f t="shared" si="35"/>
        <v>9345.5333333333328</v>
      </c>
    </row>
    <row r="66" spans="1:15" x14ac:dyDescent="0.35">
      <c r="A66" s="169" t="s">
        <v>91</v>
      </c>
      <c r="B66" s="150"/>
      <c r="C66" s="170">
        <f>SUM(C52:C65)</f>
        <v>253192.74000000002</v>
      </c>
      <c r="D66" s="170">
        <f>SUM(D52:D65)</f>
        <v>88330</v>
      </c>
      <c r="E66" s="170">
        <f>SUM(E52:E65)</f>
        <v>61701</v>
      </c>
      <c r="F66" s="170">
        <f>SUM(F52:F65)</f>
        <v>6855.6666666666679</v>
      </c>
      <c r="G66" s="141"/>
      <c r="H66" s="171">
        <f>SUM(H52:H65)</f>
        <v>2505.9</v>
      </c>
      <c r="I66" s="171">
        <f>SUM(I52:I65)</f>
        <v>102267</v>
      </c>
      <c r="J66" s="172">
        <f t="shared" si="32"/>
        <v>8522.25</v>
      </c>
    </row>
    <row r="67" spans="1:15" x14ac:dyDescent="0.35">
      <c r="A67" s="150"/>
      <c r="B67" s="150"/>
      <c r="C67" s="170"/>
      <c r="D67" s="170"/>
      <c r="E67" s="170"/>
      <c r="F67" s="170"/>
      <c r="G67" s="170"/>
      <c r="H67" s="171"/>
      <c r="I67" s="171"/>
      <c r="J67" s="172"/>
    </row>
    <row r="68" spans="1:15" x14ac:dyDescent="0.35">
      <c r="A68" s="169" t="s">
        <v>457</v>
      </c>
      <c r="B68" s="150"/>
      <c r="C68" s="170"/>
      <c r="D68" s="170"/>
      <c r="E68" s="170"/>
      <c r="F68" s="170"/>
      <c r="G68" s="170"/>
      <c r="H68" s="171"/>
      <c r="I68" s="171"/>
      <c r="J68" s="172"/>
    </row>
    <row r="69" spans="1:15" x14ac:dyDescent="0.35">
      <c r="A69" s="150" t="s">
        <v>42</v>
      </c>
      <c r="B69" s="150">
        <v>3</v>
      </c>
      <c r="C69" s="170">
        <f>2959.24+5067</f>
        <v>8026.24</v>
      </c>
      <c r="D69" s="170">
        <v>2780</v>
      </c>
      <c r="E69" s="170">
        <v>2472</v>
      </c>
      <c r="F69" s="170">
        <f>E69/9</f>
        <v>274.66666666666669</v>
      </c>
      <c r="G69" s="170"/>
      <c r="H69" s="171">
        <f>D69*$O$69</f>
        <v>212.67</v>
      </c>
      <c r="I69" s="171">
        <v>4210</v>
      </c>
      <c r="J69" s="172">
        <f t="shared" ref="J69:J78" si="39">I69/12</f>
        <v>350.83333333333331</v>
      </c>
      <c r="K69" s="173" t="s">
        <v>427</v>
      </c>
      <c r="L69" s="134">
        <f>SUM(I28+I33+I58)*7.65%</f>
        <v>4214.3850000000002</v>
      </c>
      <c r="O69" s="214">
        <v>7.6499999999999999E-2</v>
      </c>
    </row>
    <row r="70" spans="1:15" x14ac:dyDescent="0.35">
      <c r="A70" s="150" t="s">
        <v>324</v>
      </c>
      <c r="B70" s="150">
        <v>3</v>
      </c>
      <c r="C70" s="170">
        <f>24716.73+12654</f>
        <v>37370.729999999996</v>
      </c>
      <c r="D70" s="170">
        <v>11900</v>
      </c>
      <c r="E70" s="170">
        <v>11202</v>
      </c>
      <c r="F70" s="170">
        <f t="shared" ref="F70:F72" si="40">E70/9</f>
        <v>1244.6666666666667</v>
      </c>
      <c r="G70" s="170"/>
      <c r="H70" s="171">
        <f>D70*$O$70</f>
        <v>595</v>
      </c>
      <c r="I70" s="171">
        <v>11320</v>
      </c>
      <c r="J70" s="172">
        <f t="shared" si="39"/>
        <v>943.33333333333337</v>
      </c>
      <c r="K70" s="173" t="s">
        <v>571</v>
      </c>
      <c r="L70" s="134">
        <f>E70*1.01</f>
        <v>11314.02</v>
      </c>
      <c r="O70" s="188">
        <v>0.05</v>
      </c>
    </row>
    <row r="71" spans="1:15" x14ac:dyDescent="0.35">
      <c r="A71" s="150" t="s">
        <v>375</v>
      </c>
      <c r="B71" s="150">
        <v>3</v>
      </c>
      <c r="C71" s="170">
        <v>1310.01</v>
      </c>
      <c r="D71" s="170">
        <v>1600</v>
      </c>
      <c r="E71" s="170">
        <v>0</v>
      </c>
      <c r="F71" s="170">
        <f t="shared" si="40"/>
        <v>0</v>
      </c>
      <c r="G71" s="170"/>
      <c r="H71" s="171">
        <f>D71*$M$9</f>
        <v>48</v>
      </c>
      <c r="I71" s="171">
        <v>1600</v>
      </c>
      <c r="J71" s="172">
        <f>I71/12</f>
        <v>133.33333333333334</v>
      </c>
      <c r="K71" s="173" t="s">
        <v>445</v>
      </c>
    </row>
    <row r="72" spans="1:15" x14ac:dyDescent="0.35">
      <c r="A72" s="150" t="s">
        <v>59</v>
      </c>
      <c r="B72" s="150">
        <v>3</v>
      </c>
      <c r="C72" s="170">
        <f>15474.75+10995</f>
        <v>26469.75</v>
      </c>
      <c r="D72" s="170">
        <v>10880</v>
      </c>
      <c r="E72" s="170">
        <v>7666</v>
      </c>
      <c r="F72" s="170">
        <f t="shared" si="40"/>
        <v>851.77777777777783</v>
      </c>
      <c r="G72" s="170"/>
      <c r="H72" s="171">
        <f>D72*$O$72</f>
        <v>3264</v>
      </c>
      <c r="I72" s="171">
        <v>16530</v>
      </c>
      <c r="J72" s="172">
        <f t="shared" si="39"/>
        <v>1377.5</v>
      </c>
      <c r="K72" s="173" t="s">
        <v>424</v>
      </c>
      <c r="L72" s="134">
        <f>SUM(I28+I33+I58)*0.3</f>
        <v>16527</v>
      </c>
      <c r="O72" s="188">
        <v>0.3</v>
      </c>
    </row>
    <row r="73" spans="1:15" hidden="1" x14ac:dyDescent="0.35">
      <c r="A73" s="150" t="s">
        <v>60</v>
      </c>
      <c r="B73" s="150"/>
      <c r="C73" s="170"/>
      <c r="D73" s="170">
        <v>0</v>
      </c>
      <c r="E73" s="170">
        <v>0</v>
      </c>
      <c r="F73" s="170">
        <f>E73/9</f>
        <v>0</v>
      </c>
      <c r="G73" s="170"/>
      <c r="H73" s="171">
        <v>0</v>
      </c>
      <c r="I73" s="171">
        <v>0</v>
      </c>
      <c r="J73" s="172">
        <f t="shared" si="39"/>
        <v>0</v>
      </c>
      <c r="K73" s="173"/>
      <c r="L73" s="134">
        <f>SUM(I36+I65)*1*0.03</f>
        <v>298.11</v>
      </c>
      <c r="N73" s="134">
        <f>SUM(I69)*7.65%</f>
        <v>322.065</v>
      </c>
      <c r="O73" s="188"/>
    </row>
    <row r="74" spans="1:15" x14ac:dyDescent="0.35">
      <c r="A74" s="150" t="s">
        <v>232</v>
      </c>
      <c r="B74" s="150">
        <v>3</v>
      </c>
      <c r="C74" s="170">
        <f>861.96-251</f>
        <v>610.96</v>
      </c>
      <c r="D74" s="170">
        <v>210</v>
      </c>
      <c r="E74" s="170">
        <v>723</v>
      </c>
      <c r="F74" s="170">
        <f t="shared" ref="F74:F78" si="41">E74/9</f>
        <v>80.333333333333329</v>
      </c>
      <c r="G74" s="170"/>
      <c r="H74" s="171">
        <f>D74*$M$9</f>
        <v>6.3</v>
      </c>
      <c r="I74" s="171">
        <v>990</v>
      </c>
      <c r="J74" s="172">
        <f t="shared" si="39"/>
        <v>82.5</v>
      </c>
      <c r="K74" s="173" t="s">
        <v>640</v>
      </c>
      <c r="L74" s="134">
        <f>SUM((E74+(F74*3))*1.03)</f>
        <v>992.92000000000007</v>
      </c>
    </row>
    <row r="75" spans="1:15" x14ac:dyDescent="0.35">
      <c r="A75" s="150" t="s">
        <v>61</v>
      </c>
      <c r="B75" s="150">
        <v>3</v>
      </c>
      <c r="C75" s="170">
        <f>27130.12-1061</f>
        <v>26069.119999999999</v>
      </c>
      <c r="D75" s="170">
        <v>2800</v>
      </c>
      <c r="E75" s="170">
        <v>5486</v>
      </c>
      <c r="F75" s="170">
        <f t="shared" si="41"/>
        <v>609.55555555555554</v>
      </c>
      <c r="G75" s="170"/>
      <c r="H75" s="171">
        <f t="shared" ref="H75" si="42">D75*$M$9</f>
        <v>84</v>
      </c>
      <c r="I75" s="171">
        <v>2800</v>
      </c>
      <c r="J75" s="172">
        <f t="shared" si="39"/>
        <v>233.33333333333334</v>
      </c>
      <c r="L75" s="134">
        <f t="shared" ref="L75" si="43">SUM(E75)+(F75*3)*1.03</f>
        <v>7369.5266666666666</v>
      </c>
      <c r="N75" s="134">
        <f>SUM(I69)*30%</f>
        <v>1263</v>
      </c>
    </row>
    <row r="76" spans="1:15" x14ac:dyDescent="0.35">
      <c r="A76" s="150" t="s">
        <v>564</v>
      </c>
      <c r="B76" s="150"/>
      <c r="C76" s="170"/>
      <c r="D76" s="170">
        <v>0</v>
      </c>
      <c r="E76" s="170">
        <v>1861</v>
      </c>
      <c r="F76" s="170">
        <f t="shared" si="41"/>
        <v>206.77777777777777</v>
      </c>
      <c r="G76" s="170"/>
      <c r="H76" s="171"/>
      <c r="I76" s="171">
        <v>2500</v>
      </c>
      <c r="J76" s="172">
        <f t="shared" si="39"/>
        <v>208.33333333333334</v>
      </c>
      <c r="N76" s="134">
        <f>SUM((E76+(F76*3))*1.03)</f>
        <v>2555.7733333333331</v>
      </c>
    </row>
    <row r="77" spans="1:15" x14ac:dyDescent="0.35">
      <c r="A77" s="150" t="s">
        <v>352</v>
      </c>
      <c r="B77" s="150"/>
      <c r="C77" s="170"/>
      <c r="D77" s="170">
        <v>0</v>
      </c>
      <c r="E77" s="170">
        <v>188</v>
      </c>
      <c r="F77" s="170">
        <f t="shared" si="41"/>
        <v>20.888888888888889</v>
      </c>
      <c r="G77" s="170"/>
      <c r="H77" s="171"/>
      <c r="I77" s="171">
        <v>250</v>
      </c>
      <c r="J77" s="172">
        <f t="shared" si="39"/>
        <v>20.833333333333332</v>
      </c>
      <c r="L77" s="134">
        <f t="shared" ref="L77" si="44">SUM(E77)+(F77*3)*1.03</f>
        <v>252.54666666666668</v>
      </c>
    </row>
    <row r="78" spans="1:15" x14ac:dyDescent="0.35">
      <c r="A78" s="150" t="s">
        <v>62</v>
      </c>
      <c r="B78" s="150">
        <v>3</v>
      </c>
      <c r="C78" s="175">
        <v>165015.79666666666</v>
      </c>
      <c r="D78" s="175">
        <v>78960</v>
      </c>
      <c r="E78" s="175">
        <v>64564</v>
      </c>
      <c r="F78" s="175">
        <f t="shared" si="41"/>
        <v>7173.7777777777774</v>
      </c>
      <c r="G78" s="141"/>
      <c r="H78" s="176">
        <v>0</v>
      </c>
      <c r="I78" s="176">
        <v>88690</v>
      </c>
      <c r="J78" s="177">
        <f t="shared" si="39"/>
        <v>7390.833333333333</v>
      </c>
      <c r="K78" s="173" t="s">
        <v>262</v>
      </c>
    </row>
    <row r="79" spans="1:15" x14ac:dyDescent="0.35">
      <c r="A79" s="169" t="s">
        <v>92</v>
      </c>
      <c r="B79" s="150"/>
      <c r="C79" s="170">
        <f t="shared" ref="C79:J79" si="45">SUM(C69:C78)</f>
        <v>264872.60666666669</v>
      </c>
      <c r="D79" s="170">
        <f t="shared" si="45"/>
        <v>109130</v>
      </c>
      <c r="E79" s="170">
        <f t="shared" si="45"/>
        <v>94162</v>
      </c>
      <c r="F79" s="170">
        <f>SUM(F69:F78)</f>
        <v>10462.444444444445</v>
      </c>
      <c r="G79" s="141"/>
      <c r="H79" s="171">
        <f t="shared" si="45"/>
        <v>4209.97</v>
      </c>
      <c r="I79" s="171">
        <f t="shared" si="45"/>
        <v>128890</v>
      </c>
      <c r="J79" s="172">
        <f t="shared" si="45"/>
        <v>10740.833333333334</v>
      </c>
    </row>
    <row r="80" spans="1:15" x14ac:dyDescent="0.35">
      <c r="A80" s="150"/>
      <c r="B80" s="150"/>
      <c r="C80" s="170"/>
      <c r="D80" s="170"/>
      <c r="E80" s="170"/>
      <c r="F80" s="170"/>
      <c r="G80" s="170"/>
      <c r="H80" s="171"/>
      <c r="I80" s="171"/>
      <c r="J80" s="172"/>
    </row>
    <row r="81" spans="1:11" x14ac:dyDescent="0.35">
      <c r="A81" s="169" t="s">
        <v>459</v>
      </c>
      <c r="B81" s="150"/>
      <c r="C81" s="170"/>
      <c r="D81" s="170"/>
      <c r="E81" s="170"/>
      <c r="F81" s="170"/>
      <c r="G81" s="170"/>
      <c r="H81" s="171"/>
      <c r="I81" s="171"/>
      <c r="J81" s="172"/>
    </row>
    <row r="82" spans="1:11" x14ac:dyDescent="0.35">
      <c r="A82" s="150" t="s">
        <v>450</v>
      </c>
      <c r="B82" s="150"/>
      <c r="C82" s="170"/>
      <c r="D82" s="170">
        <v>30000</v>
      </c>
      <c r="E82" s="170">
        <v>0</v>
      </c>
      <c r="F82" s="170">
        <f>E82/9</f>
        <v>0</v>
      </c>
      <c r="G82" s="170"/>
      <c r="H82" s="171"/>
      <c r="I82" s="171">
        <v>0</v>
      </c>
      <c r="J82" s="172">
        <f>I82/12</f>
        <v>0</v>
      </c>
      <c r="K82" s="173" t="s">
        <v>584</v>
      </c>
    </row>
    <row r="83" spans="1:11" x14ac:dyDescent="0.35">
      <c r="A83" s="150" t="s">
        <v>313</v>
      </c>
      <c r="B83" s="150">
        <v>3</v>
      </c>
      <c r="C83" s="175">
        <v>229950.09</v>
      </c>
      <c r="D83" s="175">
        <v>102190</v>
      </c>
      <c r="E83" s="175">
        <v>76650</v>
      </c>
      <c r="F83" s="175">
        <f>E83/9</f>
        <v>8516.6666666666661</v>
      </c>
      <c r="G83" s="141"/>
      <c r="H83" s="176">
        <v>0</v>
      </c>
      <c r="I83" s="176">
        <f t="shared" ref="I83" si="46">D83+H83</f>
        <v>102190</v>
      </c>
      <c r="J83" s="177">
        <f t="shared" ref="J83" si="47">I83/12</f>
        <v>8515.8333333333339</v>
      </c>
      <c r="K83" s="173" t="s">
        <v>582</v>
      </c>
    </row>
    <row r="84" spans="1:11" x14ac:dyDescent="0.35">
      <c r="A84" s="169" t="s">
        <v>314</v>
      </c>
      <c r="B84" s="150"/>
      <c r="C84" s="170">
        <f>SUM(C78:C80)</f>
        <v>429888.40333333332</v>
      </c>
      <c r="D84" s="170">
        <f>SUM(D82:D83)</f>
        <v>132190</v>
      </c>
      <c r="E84" s="170">
        <f>SUM(E82:E83)</f>
        <v>76650</v>
      </c>
      <c r="F84" s="170">
        <f>SUM(F82:F83)</f>
        <v>8516.6666666666661</v>
      </c>
      <c r="G84" s="141"/>
      <c r="H84" s="171">
        <f>SUM(H80:H83)</f>
        <v>0</v>
      </c>
      <c r="I84" s="171">
        <f>SUM(I82:I83)</f>
        <v>102190</v>
      </c>
      <c r="J84" s="172">
        <f>SUM(J82:J83)</f>
        <v>8515.8333333333339</v>
      </c>
      <c r="K84" s="173"/>
    </row>
    <row r="85" spans="1:11" x14ac:dyDescent="0.35">
      <c r="A85" s="169"/>
      <c r="B85" s="150"/>
      <c r="C85" s="170"/>
      <c r="D85" s="170"/>
      <c r="E85" s="170"/>
      <c r="F85" s="170"/>
      <c r="G85" s="170"/>
      <c r="H85" s="171"/>
      <c r="I85" s="171"/>
      <c r="J85" s="172"/>
      <c r="K85" s="173"/>
    </row>
    <row r="86" spans="1:11" x14ac:dyDescent="0.35">
      <c r="A86" s="169" t="s">
        <v>84</v>
      </c>
      <c r="B86" s="150"/>
      <c r="C86" s="170"/>
      <c r="D86" s="170"/>
      <c r="E86" s="170"/>
      <c r="F86" s="170"/>
      <c r="G86" s="170"/>
      <c r="H86" s="171"/>
      <c r="I86" s="171"/>
      <c r="J86" s="172"/>
      <c r="K86" s="173"/>
    </row>
    <row r="87" spans="1:11" x14ac:dyDescent="0.35">
      <c r="A87" s="150" t="s">
        <v>452</v>
      </c>
      <c r="B87" s="150"/>
      <c r="C87" s="170"/>
      <c r="D87" s="170">
        <v>42000</v>
      </c>
      <c r="E87" s="170">
        <v>18000</v>
      </c>
      <c r="F87" s="170">
        <f>E87/9</f>
        <v>2000</v>
      </c>
      <c r="G87" s="170"/>
      <c r="H87" s="171"/>
      <c r="I87" s="171">
        <v>42000</v>
      </c>
      <c r="J87" s="172">
        <f>I87/12</f>
        <v>3500</v>
      </c>
      <c r="K87" s="173"/>
    </row>
    <row r="88" spans="1:11" x14ac:dyDescent="0.35">
      <c r="A88" s="150" t="s">
        <v>315</v>
      </c>
      <c r="B88" s="150">
        <v>3</v>
      </c>
      <c r="C88" s="175">
        <v>38404</v>
      </c>
      <c r="D88" s="175">
        <v>16500</v>
      </c>
      <c r="E88" s="175">
        <v>12375</v>
      </c>
      <c r="F88" s="175">
        <f>E88/9</f>
        <v>1375</v>
      </c>
      <c r="G88" s="141"/>
      <c r="H88" s="176">
        <v>0</v>
      </c>
      <c r="I88" s="176">
        <f t="shared" ref="I88" si="48">D88+H88</f>
        <v>16500</v>
      </c>
      <c r="J88" s="177">
        <f t="shared" ref="J88" si="49">I88/12</f>
        <v>1375</v>
      </c>
    </row>
    <row r="89" spans="1:11" x14ac:dyDescent="0.35">
      <c r="A89" s="169" t="s">
        <v>93</v>
      </c>
      <c r="B89" s="150"/>
      <c r="C89" s="170">
        <f>SUM(C85:C88)</f>
        <v>38404</v>
      </c>
      <c r="D89" s="170">
        <f>SUM(D87:D88)</f>
        <v>58500</v>
      </c>
      <c r="E89" s="170">
        <f>SUM(E87:E88)</f>
        <v>30375</v>
      </c>
      <c r="F89" s="170">
        <f>SUM(F87:F88)</f>
        <v>3375</v>
      </c>
      <c r="G89" s="141"/>
      <c r="H89" s="171">
        <f>SUM(H85:H88)</f>
        <v>0</v>
      </c>
      <c r="I89" s="171">
        <f>SUM(I87:I88)</f>
        <v>58500</v>
      </c>
      <c r="J89" s="172">
        <f>SUM(J87:J88)</f>
        <v>4875</v>
      </c>
      <c r="K89" s="173"/>
    </row>
    <row r="90" spans="1:11" ht="11.25" customHeight="1" x14ac:dyDescent="0.35">
      <c r="A90" s="169"/>
      <c r="B90" s="150"/>
      <c r="C90" s="170"/>
      <c r="D90" s="170"/>
      <c r="E90" s="170"/>
      <c r="F90" s="170"/>
      <c r="G90" s="170"/>
      <c r="H90" s="171"/>
      <c r="I90" s="171"/>
      <c r="J90" s="172"/>
      <c r="K90" s="173"/>
    </row>
    <row r="91" spans="1:11" x14ac:dyDescent="0.35">
      <c r="A91" s="169" t="s">
        <v>458</v>
      </c>
      <c r="B91" s="150"/>
      <c r="C91" s="170"/>
      <c r="D91" s="170"/>
      <c r="E91" s="170"/>
      <c r="F91" s="170"/>
      <c r="G91" s="170"/>
      <c r="H91" s="171"/>
      <c r="I91" s="171"/>
      <c r="J91" s="172"/>
      <c r="K91" s="173"/>
    </row>
    <row r="92" spans="1:11" x14ac:dyDescent="0.35">
      <c r="A92" s="150" t="s">
        <v>297</v>
      </c>
      <c r="B92" s="150">
        <v>3</v>
      </c>
      <c r="C92" s="170">
        <v>4008</v>
      </c>
      <c r="D92" s="170">
        <v>9900</v>
      </c>
      <c r="E92" s="170">
        <v>0</v>
      </c>
      <c r="F92" s="170">
        <f t="shared" ref="F92:F95" si="50">E92/9</f>
        <v>0</v>
      </c>
      <c r="G92" s="170"/>
      <c r="H92" s="171">
        <v>0</v>
      </c>
      <c r="I92" s="171">
        <v>0</v>
      </c>
      <c r="J92" s="234">
        <f>I92/12</f>
        <v>0</v>
      </c>
    </row>
    <row r="93" spans="1:11" x14ac:dyDescent="0.35">
      <c r="A93" s="150" t="s">
        <v>25</v>
      </c>
      <c r="B93" s="150">
        <v>3</v>
      </c>
      <c r="C93" s="170">
        <v>41846.333333333328</v>
      </c>
      <c r="D93" s="170">
        <v>11000</v>
      </c>
      <c r="E93" s="170">
        <v>15342</v>
      </c>
      <c r="F93" s="170">
        <f t="shared" si="50"/>
        <v>1704.6666666666667</v>
      </c>
      <c r="G93" s="170"/>
      <c r="H93" s="171">
        <f>SUM(H90:H92)</f>
        <v>0</v>
      </c>
      <c r="I93" s="171">
        <v>0</v>
      </c>
      <c r="J93" s="234">
        <f>I93/12</f>
        <v>0</v>
      </c>
      <c r="K93" s="134" t="s">
        <v>641</v>
      </c>
    </row>
    <row r="94" spans="1:11" x14ac:dyDescent="0.35">
      <c r="A94" s="150" t="s">
        <v>326</v>
      </c>
      <c r="B94" s="150">
        <v>3</v>
      </c>
      <c r="C94" s="170">
        <v>4980</v>
      </c>
      <c r="D94" s="170">
        <v>9000</v>
      </c>
      <c r="E94" s="170">
        <v>0</v>
      </c>
      <c r="F94" s="170">
        <f t="shared" si="50"/>
        <v>0</v>
      </c>
      <c r="G94" s="170"/>
      <c r="H94" s="171">
        <f>SUM(H92:H93)</f>
        <v>0</v>
      </c>
      <c r="I94" s="171">
        <v>0</v>
      </c>
      <c r="J94" s="234">
        <f>I94/12</f>
        <v>0</v>
      </c>
      <c r="K94" s="173" t="s">
        <v>436</v>
      </c>
    </row>
    <row r="95" spans="1:11" x14ac:dyDescent="0.35">
      <c r="A95" s="150" t="s">
        <v>319</v>
      </c>
      <c r="B95" s="150">
        <v>3</v>
      </c>
      <c r="C95" s="170">
        <v>9400.4333333333343</v>
      </c>
      <c r="D95" s="170">
        <v>3000</v>
      </c>
      <c r="E95" s="170">
        <v>17049</v>
      </c>
      <c r="F95" s="170">
        <f t="shared" si="50"/>
        <v>1894.3333333333333</v>
      </c>
      <c r="G95" s="170"/>
      <c r="H95" s="171">
        <v>0</v>
      </c>
      <c r="I95" s="171">
        <v>0</v>
      </c>
      <c r="J95" s="172">
        <f t="shared" ref="J95:J97" si="51">I95/12</f>
        <v>0</v>
      </c>
      <c r="K95" s="134" t="s">
        <v>641</v>
      </c>
    </row>
    <row r="96" spans="1:11" x14ac:dyDescent="0.35">
      <c r="A96" s="150" t="s">
        <v>26</v>
      </c>
      <c r="B96" s="150">
        <v>3</v>
      </c>
      <c r="C96" s="170">
        <v>70491.33</v>
      </c>
      <c r="D96" s="175">
        <v>6000</v>
      </c>
      <c r="E96" s="175">
        <v>8273</v>
      </c>
      <c r="F96" s="175">
        <f>E96/9</f>
        <v>919.22222222222217</v>
      </c>
      <c r="G96" s="141"/>
      <c r="H96" s="176">
        <v>0</v>
      </c>
      <c r="I96" s="176">
        <v>0</v>
      </c>
      <c r="J96" s="177">
        <f t="shared" si="51"/>
        <v>0</v>
      </c>
      <c r="K96" s="134" t="s">
        <v>641</v>
      </c>
    </row>
    <row r="97" spans="1:11" hidden="1" x14ac:dyDescent="0.35">
      <c r="A97" s="150" t="s">
        <v>65</v>
      </c>
      <c r="B97" s="150">
        <v>3</v>
      </c>
      <c r="C97" s="163">
        <v>0</v>
      </c>
      <c r="D97" s="163">
        <v>0</v>
      </c>
      <c r="E97" s="175">
        <f t="shared" ref="E97" si="52">D97/12</f>
        <v>0</v>
      </c>
      <c r="F97" s="175"/>
      <c r="G97" s="141"/>
      <c r="H97" s="176">
        <f>SUM(H89:H96)</f>
        <v>0</v>
      </c>
      <c r="I97" s="176">
        <v>0</v>
      </c>
      <c r="J97" s="177">
        <f t="shared" si="51"/>
        <v>0</v>
      </c>
      <c r="K97" s="173" t="s">
        <v>421</v>
      </c>
    </row>
    <row r="98" spans="1:11" ht="21.75" thickBot="1" x14ac:dyDescent="0.4">
      <c r="A98" s="169" t="s">
        <v>320</v>
      </c>
      <c r="B98" s="150"/>
      <c r="C98" s="170">
        <f t="shared" ref="C98:J98" si="53">SUM(C92:C97)</f>
        <v>130726.09666666666</v>
      </c>
      <c r="D98" s="170">
        <f t="shared" si="53"/>
        <v>38900</v>
      </c>
      <c r="E98" s="170">
        <f t="shared" si="53"/>
        <v>40664</v>
      </c>
      <c r="F98" s="170">
        <f>SUM(F92:F96)</f>
        <v>4518.2222222222226</v>
      </c>
      <c r="G98" s="170"/>
      <c r="H98" s="190">
        <f t="shared" si="53"/>
        <v>0</v>
      </c>
      <c r="I98" s="191">
        <f t="shared" si="53"/>
        <v>0</v>
      </c>
      <c r="J98" s="192">
        <f t="shared" si="53"/>
        <v>0</v>
      </c>
      <c r="K98" s="173"/>
    </row>
    <row r="99" spans="1:11" x14ac:dyDescent="0.35">
      <c r="A99" s="150"/>
      <c r="B99" s="150"/>
      <c r="C99" s="150"/>
      <c r="D99" s="150"/>
      <c r="E99" s="150"/>
      <c r="F99" s="150"/>
      <c r="G99" s="150"/>
    </row>
  </sheetData>
  <pageMargins left="0.7" right="0.28000000000000003" top="0.6" bottom="0.47" header="0.3" footer="0.3"/>
  <pageSetup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Consolidation Rollup</vt:lpstr>
      <vt:lpstr>JCHA </vt:lpstr>
      <vt:lpstr>Vouchers</vt:lpstr>
      <vt:lpstr>Canyon Gate</vt:lpstr>
      <vt:lpstr>Green Ridge</vt:lpstr>
      <vt:lpstr>Caesar Sq</vt:lpstr>
      <vt:lpstr>Mtn View</vt:lpstr>
      <vt:lpstr>Kendall Apts</vt:lpstr>
      <vt:lpstr>Viking Sq</vt:lpstr>
      <vt:lpstr>Aspen Ridge</vt:lpstr>
      <vt:lpstr>Redwood Village</vt:lpstr>
      <vt:lpstr>Rehab</vt:lpstr>
      <vt:lpstr>Glendale</vt:lpstr>
      <vt:lpstr>Harlan</vt:lpstr>
      <vt:lpstr>Lewis Ct</vt:lpstr>
      <vt:lpstr>2014</vt:lpstr>
      <vt:lpstr>2013</vt:lpstr>
      <vt:lpstr>2012</vt:lpstr>
      <vt:lpstr>'Aspen Ridge'!Print_Area</vt:lpstr>
      <vt:lpstr>'Caesar Sq'!Print_Area</vt:lpstr>
      <vt:lpstr>'Canyon Gate'!Print_Area</vt:lpstr>
      <vt:lpstr>'Consolidation Rollup'!Print_Area</vt:lpstr>
      <vt:lpstr>Glendale!Print_Area</vt:lpstr>
      <vt:lpstr>'Green Ridge'!Print_Area</vt:lpstr>
      <vt:lpstr>Harlan!Print_Area</vt:lpstr>
      <vt:lpstr>'JCHA '!Print_Area</vt:lpstr>
      <vt:lpstr>'Kendall Apts'!Print_Area</vt:lpstr>
      <vt:lpstr>'Lewis Ct'!Print_Area</vt:lpstr>
      <vt:lpstr>'Mtn View'!Print_Area</vt:lpstr>
      <vt:lpstr>'Redwood Village'!Print_Area</vt:lpstr>
      <vt:lpstr>Rehab!Print_Area</vt:lpstr>
      <vt:lpstr>'Viking Sq'!Print_Area</vt:lpstr>
      <vt:lpstr>Vouchers!Print_Area</vt:lpstr>
      <vt:lpstr>'Aspen Ridge'!Print_Titles</vt:lpstr>
      <vt:lpstr>'Caesar Sq'!Print_Titles</vt:lpstr>
      <vt:lpstr>'Canyon Gate'!Print_Titles</vt:lpstr>
      <vt:lpstr>'Consolidation Rollup'!Print_Titles</vt:lpstr>
      <vt:lpstr>Glendale!Print_Titles</vt:lpstr>
      <vt:lpstr>'Green Ridge'!Print_Titles</vt:lpstr>
      <vt:lpstr>Harlan!Print_Titles</vt:lpstr>
      <vt:lpstr>'JCHA '!Print_Titles</vt:lpstr>
      <vt:lpstr>'Kendall Apts'!Print_Titles</vt:lpstr>
      <vt:lpstr>'Lewis Ct'!Print_Titles</vt:lpstr>
      <vt:lpstr>'Viking Sq'!Print_Titles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Roberts</dc:creator>
  <cp:lastModifiedBy>Stephanie Littleton</cp:lastModifiedBy>
  <cp:lastPrinted>2015-12-10T15:48:17Z</cp:lastPrinted>
  <dcterms:created xsi:type="dcterms:W3CDTF">2014-11-07T22:39:33Z</dcterms:created>
  <dcterms:modified xsi:type="dcterms:W3CDTF">2016-06-17T21:28:04Z</dcterms:modified>
</cp:coreProperties>
</file>