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1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revisionsPassword="C57C" lockRevision="1"/>
  <bookViews>
    <workbookView xWindow="120" yWindow="45" windowWidth="15180" windowHeight="8580"/>
  </bookViews>
  <sheets>
    <sheet name="Sheet1" sheetId="1" r:id="rId1"/>
  </sheets>
  <calcPr calcId="145621"/>
  <customWorkbookViews>
    <customWorkbookView name="Keith Roberts - Personal View" guid="{3EBD62F1-8F08-4E77-BBC0-FDD26D34F961}" mergeInterval="0" personalView="1" maximized="1" windowWidth="1600" windowHeight="714" activeSheetId="1"/>
  </customWorkbookViews>
</workbook>
</file>

<file path=xl/calcChain.xml><?xml version="1.0" encoding="utf-8"?>
<calcChain xmlns="http://schemas.openxmlformats.org/spreadsheetml/2006/main">
  <c r="E86" i="1" l="1"/>
  <c r="E85" i="1"/>
  <c r="E84" i="1"/>
  <c r="E83" i="1"/>
  <c r="E82" i="1"/>
  <c r="E81" i="1"/>
  <c r="E80" i="1"/>
  <c r="E79" i="1"/>
  <c r="E78" i="1"/>
  <c r="E77" i="1"/>
  <c r="F46" i="1"/>
  <c r="R13" i="1" l="1"/>
  <c r="Q13" i="1"/>
  <c r="P13" i="1"/>
  <c r="O13" i="1"/>
  <c r="N13" i="1"/>
  <c r="M13" i="1"/>
  <c r="L13" i="1"/>
  <c r="K13" i="1"/>
  <c r="J13" i="1"/>
  <c r="I13" i="1"/>
  <c r="H13" i="1"/>
  <c r="G13" i="1"/>
  <c r="F86" i="1" l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67" i="1"/>
  <c r="F66" i="1"/>
  <c r="F65" i="1"/>
  <c r="F64" i="1"/>
  <c r="E59" i="1"/>
  <c r="E58" i="1"/>
  <c r="E57" i="1"/>
  <c r="E56" i="1"/>
  <c r="E55" i="1"/>
  <c r="E54" i="1"/>
  <c r="E52" i="1"/>
  <c r="E51" i="1"/>
  <c r="E50" i="1"/>
  <c r="E49" i="1"/>
  <c r="E48" i="1"/>
  <c r="E47" i="1"/>
  <c r="E46" i="1"/>
  <c r="E45" i="1"/>
  <c r="E44" i="1"/>
  <c r="E43" i="1"/>
  <c r="E42" i="1"/>
  <c r="F60" i="1"/>
  <c r="F59" i="1"/>
  <c r="F58" i="1"/>
  <c r="F57" i="1"/>
  <c r="F56" i="1"/>
  <c r="F55" i="1"/>
  <c r="F54" i="1"/>
  <c r="F53" i="1"/>
  <c r="F52" i="1"/>
  <c r="F51" i="1"/>
  <c r="F50" i="1"/>
  <c r="F48" i="1"/>
  <c r="F47" i="1"/>
  <c r="F45" i="1"/>
  <c r="F44" i="1"/>
  <c r="F43" i="1"/>
  <c r="F42" i="1"/>
  <c r="R10" i="1"/>
  <c r="Q10" i="1"/>
  <c r="P10" i="1"/>
  <c r="O10" i="1"/>
  <c r="N10" i="1"/>
  <c r="M10" i="1"/>
  <c r="L10" i="1"/>
  <c r="K10" i="1"/>
  <c r="J10" i="1"/>
  <c r="I10" i="1"/>
  <c r="H10" i="1"/>
  <c r="G10" i="1"/>
  <c r="D114" i="1"/>
  <c r="J59" i="1" l="1"/>
  <c r="E60" i="1"/>
  <c r="R71" i="1" l="1"/>
  <c r="Q71" i="1"/>
  <c r="P71" i="1"/>
  <c r="O71" i="1"/>
  <c r="N71" i="1"/>
  <c r="M71" i="1"/>
  <c r="L71" i="1"/>
  <c r="K71" i="1"/>
  <c r="J71" i="1"/>
  <c r="I71" i="1"/>
  <c r="H71" i="1"/>
  <c r="G71" i="1"/>
  <c r="R50" i="1"/>
  <c r="R47" i="1"/>
  <c r="J94" i="1" l="1"/>
  <c r="J91" i="1"/>
  <c r="J54" i="1"/>
  <c r="N94" i="1"/>
  <c r="N91" i="1"/>
  <c r="N54" i="1" s="1"/>
  <c r="G94" i="1"/>
  <c r="G91" i="1"/>
  <c r="G54" i="1" s="1"/>
  <c r="K94" i="1"/>
  <c r="K91" i="1"/>
  <c r="K54" i="1"/>
  <c r="O94" i="1"/>
  <c r="O91" i="1"/>
  <c r="O54" i="1"/>
  <c r="H91" i="1"/>
  <c r="H54" i="1" s="1"/>
  <c r="H94" i="1"/>
  <c r="L94" i="1"/>
  <c r="L91" i="1"/>
  <c r="L54" i="1" s="1"/>
  <c r="P94" i="1"/>
  <c r="P91" i="1"/>
  <c r="P54" i="1"/>
  <c r="R94" i="1"/>
  <c r="R91" i="1"/>
  <c r="R54" i="1"/>
  <c r="I94" i="1"/>
  <c r="I91" i="1"/>
  <c r="I54" i="1" s="1"/>
  <c r="M94" i="1"/>
  <c r="M91" i="1"/>
  <c r="M54" i="1" s="1"/>
  <c r="Q94" i="1"/>
  <c r="Q91" i="1"/>
  <c r="Q54" i="1"/>
  <c r="K80" i="1"/>
  <c r="G79" i="1" l="1"/>
  <c r="K76" i="1"/>
  <c r="P76" i="1"/>
  <c r="O76" i="1"/>
  <c r="N76" i="1"/>
  <c r="M76" i="1"/>
  <c r="L76" i="1"/>
  <c r="J76" i="1"/>
  <c r="R75" i="1"/>
  <c r="Q75" i="1"/>
  <c r="P75" i="1"/>
  <c r="O75" i="1"/>
  <c r="N75" i="1"/>
  <c r="M75" i="1"/>
  <c r="L75" i="1"/>
  <c r="K75" i="1"/>
  <c r="J75" i="1"/>
  <c r="I75" i="1"/>
  <c r="H75" i="1"/>
  <c r="G75" i="1"/>
  <c r="D110" i="1" l="1"/>
  <c r="F7" i="1" l="1"/>
  <c r="F41" i="1"/>
  <c r="F109" i="1"/>
  <c r="F108" i="1"/>
  <c r="R110" i="1"/>
  <c r="Q110" i="1"/>
  <c r="P110" i="1"/>
  <c r="O110" i="1"/>
  <c r="N110" i="1"/>
  <c r="M110" i="1"/>
  <c r="L110" i="1"/>
  <c r="K110" i="1"/>
  <c r="J110" i="1"/>
  <c r="I110" i="1"/>
  <c r="H110" i="1"/>
  <c r="G110" i="1"/>
  <c r="F96" i="1"/>
  <c r="F95" i="1"/>
  <c r="F93" i="1"/>
  <c r="F92" i="1"/>
  <c r="R87" i="1"/>
  <c r="Q87" i="1"/>
  <c r="P87" i="1"/>
  <c r="O87" i="1"/>
  <c r="N87" i="1"/>
  <c r="M87" i="1"/>
  <c r="L87" i="1"/>
  <c r="K87" i="1"/>
  <c r="J87" i="1"/>
  <c r="I87" i="1"/>
  <c r="H87" i="1"/>
  <c r="G87" i="1"/>
  <c r="R68" i="1"/>
  <c r="Q68" i="1"/>
  <c r="P68" i="1"/>
  <c r="O68" i="1"/>
  <c r="N68" i="1"/>
  <c r="M68" i="1"/>
  <c r="L68" i="1"/>
  <c r="K68" i="1"/>
  <c r="J68" i="1"/>
  <c r="I68" i="1"/>
  <c r="H68" i="1"/>
  <c r="G68" i="1"/>
  <c r="F71" i="1"/>
  <c r="R97" i="1"/>
  <c r="Q97" i="1"/>
  <c r="P97" i="1"/>
  <c r="O97" i="1"/>
  <c r="N97" i="1"/>
  <c r="M97" i="1"/>
  <c r="L97" i="1"/>
  <c r="K97" i="1"/>
  <c r="J97" i="1"/>
  <c r="I97" i="1"/>
  <c r="H97" i="1"/>
  <c r="F68" i="1" l="1"/>
  <c r="F87" i="1"/>
  <c r="F110" i="1"/>
  <c r="F91" i="1"/>
  <c r="F94" i="1"/>
  <c r="G97" i="1"/>
  <c r="F97" i="1" l="1"/>
  <c r="F104" i="1" l="1"/>
  <c r="F33" i="1" l="1"/>
  <c r="F32" i="1"/>
  <c r="F31" i="1"/>
  <c r="F30" i="1"/>
  <c r="F29" i="1"/>
  <c r="F28" i="1"/>
  <c r="F27" i="1"/>
  <c r="F26" i="1"/>
  <c r="F25" i="1"/>
  <c r="D10" i="1"/>
  <c r="F114" i="1" l="1"/>
  <c r="F113" i="1"/>
  <c r="D97" i="1"/>
  <c r="D87" i="1"/>
  <c r="D68" i="1" l="1"/>
  <c r="D61" i="1"/>
  <c r="Q16" i="1"/>
  <c r="P16" i="1"/>
  <c r="O16" i="1"/>
  <c r="M16" i="1"/>
  <c r="L16" i="1"/>
  <c r="K16" i="1"/>
  <c r="I16" i="1"/>
  <c r="H16" i="1"/>
  <c r="R34" i="1"/>
  <c r="Q34" i="1"/>
  <c r="P34" i="1"/>
  <c r="O34" i="1"/>
  <c r="N34" i="1"/>
  <c r="M34" i="1"/>
  <c r="L34" i="1"/>
  <c r="K34" i="1"/>
  <c r="J34" i="1"/>
  <c r="I34" i="1"/>
  <c r="H34" i="1"/>
  <c r="G34" i="1"/>
  <c r="D34" i="1"/>
  <c r="F24" i="1"/>
  <c r="R21" i="1"/>
  <c r="Q21" i="1"/>
  <c r="P21" i="1"/>
  <c r="O21" i="1"/>
  <c r="N21" i="1"/>
  <c r="M21" i="1"/>
  <c r="L21" i="1"/>
  <c r="K21" i="1"/>
  <c r="J21" i="1"/>
  <c r="I21" i="1"/>
  <c r="H21" i="1"/>
  <c r="G21" i="1"/>
  <c r="D21" i="1"/>
  <c r="F20" i="1"/>
  <c r="R16" i="1"/>
  <c r="N16" i="1"/>
  <c r="J16" i="1"/>
  <c r="G16" i="1"/>
  <c r="F13" i="1"/>
  <c r="F15" i="1"/>
  <c r="F14" i="1"/>
  <c r="R36" i="1" l="1"/>
  <c r="N36" i="1"/>
  <c r="O36" i="1"/>
  <c r="K36" i="1"/>
  <c r="P36" i="1"/>
  <c r="G36" i="1"/>
  <c r="G49" i="1" s="1"/>
  <c r="L36" i="1"/>
  <c r="Q36" i="1"/>
  <c r="I36" i="1"/>
  <c r="J36" i="1"/>
  <c r="F34" i="1"/>
  <c r="H36" i="1"/>
  <c r="M36" i="1"/>
  <c r="F16" i="1"/>
  <c r="G61" i="1" l="1"/>
  <c r="G99" i="1" s="1"/>
  <c r="G101" i="1" s="1"/>
  <c r="O49" i="1"/>
  <c r="M49" i="1"/>
  <c r="H49" i="1"/>
  <c r="Q49" i="1"/>
  <c r="K49" i="1"/>
  <c r="L49" i="1"/>
  <c r="L61" i="1" s="1"/>
  <c r="L99" i="1" s="1"/>
  <c r="L101" i="1" s="1"/>
  <c r="J49" i="1"/>
  <c r="N49" i="1"/>
  <c r="I49" i="1"/>
  <c r="P49" i="1"/>
  <c r="R49" i="1"/>
  <c r="D16" i="1"/>
  <c r="D36" i="1" s="1"/>
  <c r="E122" i="1"/>
  <c r="E121" i="1"/>
  <c r="E114" i="1"/>
  <c r="E113" i="1"/>
  <c r="E109" i="1"/>
  <c r="E108" i="1"/>
  <c r="E104" i="1"/>
  <c r="E105" i="1" s="1"/>
  <c r="E95" i="1"/>
  <c r="E94" i="1"/>
  <c r="E93" i="1"/>
  <c r="E91" i="1"/>
  <c r="E90" i="1"/>
  <c r="E76" i="1"/>
  <c r="E75" i="1"/>
  <c r="E74" i="1"/>
  <c r="E73" i="1"/>
  <c r="E72" i="1"/>
  <c r="E71" i="1"/>
  <c r="E67" i="1"/>
  <c r="E66" i="1"/>
  <c r="E65" i="1"/>
  <c r="E64" i="1"/>
  <c r="E41" i="1"/>
  <c r="E33" i="1"/>
  <c r="E32" i="1"/>
  <c r="E31" i="1"/>
  <c r="E30" i="1"/>
  <c r="E29" i="1"/>
  <c r="E28" i="1"/>
  <c r="E27" i="1"/>
  <c r="E26" i="1"/>
  <c r="E25" i="1"/>
  <c r="E24" i="1"/>
  <c r="E20" i="1"/>
  <c r="E19" i="1"/>
  <c r="E15" i="1"/>
  <c r="E14" i="1"/>
  <c r="E13" i="1"/>
  <c r="E9" i="1"/>
  <c r="E8" i="1"/>
  <c r="E7" i="1"/>
  <c r="D123" i="1"/>
  <c r="R115" i="1"/>
  <c r="Q115" i="1"/>
  <c r="P115" i="1"/>
  <c r="O115" i="1"/>
  <c r="N115" i="1"/>
  <c r="M115" i="1"/>
  <c r="L115" i="1"/>
  <c r="K115" i="1"/>
  <c r="J115" i="1"/>
  <c r="I115" i="1"/>
  <c r="H115" i="1"/>
  <c r="G115" i="1"/>
  <c r="D115" i="1"/>
  <c r="Q123" i="1"/>
  <c r="O123" i="1"/>
  <c r="M123" i="1"/>
  <c r="K123" i="1"/>
  <c r="I123" i="1"/>
  <c r="G123" i="1"/>
  <c r="F19" i="1"/>
  <c r="F21" i="1" s="1"/>
  <c r="F8" i="1"/>
  <c r="F9" i="1"/>
  <c r="F105" i="1"/>
  <c r="D105" i="1"/>
  <c r="G105" i="1"/>
  <c r="H105" i="1"/>
  <c r="I105" i="1"/>
  <c r="J105" i="1"/>
  <c r="K105" i="1"/>
  <c r="L105" i="1"/>
  <c r="M105" i="1"/>
  <c r="N105" i="1"/>
  <c r="O105" i="1"/>
  <c r="P105" i="1"/>
  <c r="Q105" i="1"/>
  <c r="R105" i="1"/>
  <c r="F115" i="1"/>
  <c r="F122" i="1"/>
  <c r="K61" i="1" l="1"/>
  <c r="K99" i="1" s="1"/>
  <c r="K101" i="1" s="1"/>
  <c r="K117" i="1" s="1"/>
  <c r="K125" i="1" s="1"/>
  <c r="R61" i="1"/>
  <c r="R99" i="1" s="1"/>
  <c r="R101" i="1" s="1"/>
  <c r="J61" i="1"/>
  <c r="J99" i="1" s="1"/>
  <c r="J101" i="1" s="1"/>
  <c r="Q61" i="1"/>
  <c r="Q99" i="1" s="1"/>
  <c r="Q101" i="1" s="1"/>
  <c r="P61" i="1"/>
  <c r="P99" i="1" s="1"/>
  <c r="P101" i="1" s="1"/>
  <c r="I61" i="1"/>
  <c r="I99" i="1" s="1"/>
  <c r="I101" i="1" s="1"/>
  <c r="M61" i="1"/>
  <c r="M99" i="1" s="1"/>
  <c r="M101" i="1" s="1"/>
  <c r="O61" i="1"/>
  <c r="O99" i="1" s="1"/>
  <c r="O101" i="1" s="1"/>
  <c r="N61" i="1"/>
  <c r="N99" i="1" s="1"/>
  <c r="N101" i="1" s="1"/>
  <c r="N117" i="1" s="1"/>
  <c r="H61" i="1"/>
  <c r="H99" i="1" s="1"/>
  <c r="H101" i="1" s="1"/>
  <c r="F49" i="1"/>
  <c r="F61" i="1" s="1"/>
  <c r="E61" i="1"/>
  <c r="E10" i="1"/>
  <c r="F10" i="1"/>
  <c r="F36" i="1" s="1"/>
  <c r="E123" i="1"/>
  <c r="E68" i="1"/>
  <c r="E87" i="1"/>
  <c r="E97" i="1"/>
  <c r="E21" i="1"/>
  <c r="E16" i="1"/>
  <c r="E34" i="1"/>
  <c r="E110" i="1"/>
  <c r="E115" i="1"/>
  <c r="D99" i="1"/>
  <c r="E99" i="1" l="1"/>
  <c r="E36" i="1"/>
  <c r="J117" i="1"/>
  <c r="Q117" i="1"/>
  <c r="Q125" i="1" s="1"/>
  <c r="R117" i="1"/>
  <c r="D101" i="1"/>
  <c r="D117" i="1" s="1"/>
  <c r="D125" i="1" s="1"/>
  <c r="O117" i="1"/>
  <c r="O125" i="1" s="1"/>
  <c r="M117" i="1"/>
  <c r="M125" i="1" s="1"/>
  <c r="L117" i="1"/>
  <c r="P117" i="1"/>
  <c r="I117" i="1"/>
  <c r="I125" i="1" s="1"/>
  <c r="H117" i="1"/>
  <c r="E101" i="1" l="1"/>
  <c r="E117" i="1" s="1"/>
  <c r="E125" i="1" s="1"/>
  <c r="G117" i="1"/>
  <c r="G125" i="1" s="1"/>
  <c r="L123" i="1"/>
  <c r="L125" i="1" s="1"/>
  <c r="J123" i="1"/>
  <c r="J125" i="1" s="1"/>
  <c r="P123" i="1"/>
  <c r="P125" i="1" s="1"/>
  <c r="N123" i="1"/>
  <c r="N125" i="1" s="1"/>
  <c r="R123" i="1"/>
  <c r="R125" i="1" s="1"/>
  <c r="F121" i="1"/>
  <c r="F123" i="1" s="1"/>
  <c r="H123" i="1"/>
  <c r="H125" i="1" s="1"/>
  <c r="F99" i="1" l="1"/>
  <c r="F101" i="1" s="1"/>
  <c r="F117" i="1" s="1"/>
  <c r="F125" i="1" s="1"/>
</calcChain>
</file>

<file path=xl/sharedStrings.xml><?xml version="1.0" encoding="utf-8"?>
<sst xmlns="http://schemas.openxmlformats.org/spreadsheetml/2006/main" count="299" uniqueCount="224">
  <si>
    <t>Budget Worksheet</t>
  </si>
  <si>
    <t>Account</t>
  </si>
  <si>
    <t> Number</t>
  </si>
  <si>
    <t> Name</t>
  </si>
  <si>
    <t> Total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</si>
  <si>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</si>
  <si>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</si>
  <si>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</si>
  <si>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</si>
  <si>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</si>
  <si>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</si>
  <si>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</si>
  <si>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</si>
  <si>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</si>
  <si>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</si>
  <si>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</si>
  <si>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</si>
  <si>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     </t>
  </si>
  <si>
    <t> 5120-0000</t>
  </si>
  <si>
    <t>         Rent Income - Apartments</t>
  </si>
  <si>
    <t>          TOTAL RENT INCOME</t>
  </si>
  <si>
    <t>    VACANCIES &amp; CONCESSIONS</t>
  </si>
  <si>
    <t> 5220-0000</t>
  </si>
  <si>
    <t>         Vacancies - Apartments</t>
  </si>
  <si>
    <t> 5260-0000</t>
  </si>
  <si>
    <t>         Loss to Lease</t>
  </si>
  <si>
    <t>          TOTAL VACANCIES &amp; CONCESSIONS</t>
  </si>
  <si>
    <t>    FINANCIAL INCOME</t>
  </si>
  <si>
    <t> 5410-0000</t>
  </si>
  <si>
    <t>         Interest Income</t>
  </si>
  <si>
    <t> 5440-0000</t>
  </si>
  <si>
    <t>         Interest Income - Rplcmnt Rsrv</t>
  </si>
  <si>
    <t>          TOTAL FINANCIAL INCOME</t>
  </si>
  <si>
    <t>    OTHER INCOME</t>
  </si>
  <si>
    <t> 5910-0000</t>
  </si>
  <si>
    <t>         Laundry/Vending Revenue</t>
  </si>
  <si>
    <t> 5920-0000</t>
  </si>
  <si>
    <t>         Tenant Charges</t>
  </si>
  <si>
    <t> 5920-0008</t>
  </si>
  <si>
    <t>         NSF and Late Fees</t>
  </si>
  <si>
    <t> 5920-0012</t>
  </si>
  <si>
    <t>         App Fees/Credit Check</t>
  </si>
  <si>
    <t> 5940-0000</t>
  </si>
  <si>
    <t>         Forfeited Tenant Security Deposit</t>
  </si>
  <si>
    <t>          TOTAL OTHER INCOME</t>
  </si>
  <si>
    <t>                TOTAL INCOME</t>
  </si>
  <si>
    <t>    ADMINISTRATIVE EXPENSES</t>
  </si>
  <si>
    <t> 6203-0000</t>
  </si>
  <si>
    <t>         Conventions and Meetings</t>
  </si>
  <si>
    <t> 6210-0000</t>
  </si>
  <si>
    <t>         Advertising and Marketing</t>
  </si>
  <si>
    <t> 6210-1000</t>
  </si>
  <si>
    <t>         Referral Fee - Tenant</t>
  </si>
  <si>
    <t> 6220-0000</t>
  </si>
  <si>
    <t>         Cable TV Expense</t>
  </si>
  <si>
    <t> 6311-0000</t>
  </si>
  <si>
    <t>         Office Expense</t>
  </si>
  <si>
    <t> 6320-0000</t>
  </si>
  <si>
    <t>         Management Fee</t>
  </si>
  <si>
    <t> 6330-0000</t>
  </si>
  <si>
    <t>         Managers Salary</t>
  </si>
  <si>
    <t> 6350-0000</t>
  </si>
  <si>
    <t>         Auditing Expense</t>
  </si>
  <si>
    <t> 6351-0000</t>
  </si>
  <si>
    <t>         Bookkeeping/Payroll Expense</t>
  </si>
  <si>
    <t> 6355-0000</t>
  </si>
  <si>
    <t>         Bank Fees</t>
  </si>
  <si>
    <t> 6360-0004</t>
  </si>
  <si>
    <t>         Telephone and Answ Svc.</t>
  </si>
  <si>
    <t> 6362-0000</t>
  </si>
  <si>
    <t>         Computer Maint</t>
  </si>
  <si>
    <t> 6370-0000</t>
  </si>
  <si>
    <t>         Bad Debt Expense</t>
  </si>
  <si>
    <t> 6390-0000</t>
  </si>
  <si>
    <t>         Misc. Administrative Expense</t>
  </si>
  <si>
    <t> 6390-1000</t>
  </si>
  <si>
    <t>         Background-Security Checks</t>
  </si>
  <si>
    <t>          TOTAL ADMINISTRATIVE EXPENSES</t>
  </si>
  <si>
    <t>    UTILITIES EXPENSE</t>
  </si>
  <si>
    <t> 6450-0000</t>
  </si>
  <si>
    <t>         Electricity</t>
  </si>
  <si>
    <t> 6451-0000</t>
  </si>
  <si>
    <t>         Water</t>
  </si>
  <si>
    <t> 6452-0000</t>
  </si>
  <si>
    <t>         Gas</t>
  </si>
  <si>
    <t> 6453-0000</t>
  </si>
  <si>
    <t>         Sewer</t>
  </si>
  <si>
    <t>          TOTAL UTILITIES EXPENSE</t>
  </si>
  <si>
    <t> 6515-0000</t>
  </si>
  <si>
    <t>         Supplies</t>
  </si>
  <si>
    <t> 6520-1000</t>
  </si>
  <si>
    <t>         Cleaning Contract</t>
  </si>
  <si>
    <t> 6520-2000</t>
  </si>
  <si>
    <t>         Exterminating Payroll/Contract</t>
  </si>
  <si>
    <t> 6520-3000</t>
  </si>
  <si>
    <t>         Grounds Contract</t>
  </si>
  <si>
    <t> 6520-4000</t>
  </si>
  <si>
    <t>         Repairs Contract</t>
  </si>
  <si>
    <t> 6520-5000</t>
  </si>
  <si>
    <t>         Decorating Payroll/Contract</t>
  </si>
  <si>
    <t> 6520-6000</t>
  </si>
  <si>
    <t>         Appliance/Carpet/Drps Rplcmnt</t>
  </si>
  <si>
    <t> 6525-0000</t>
  </si>
  <si>
    <t>         Garbage and Trash Removal</t>
  </si>
  <si>
    <t> 6530-0000</t>
  </si>
  <si>
    <t>         Security Payroll/Contract</t>
  </si>
  <si>
    <t> 6546-0000</t>
  </si>
  <si>
    <t>         Htg/Cooling Repairs/Maint</t>
  </si>
  <si>
    <t> 6548-0000</t>
  </si>
  <si>
    <t>         Snow Removal</t>
  </si>
  <si>
    <t> 6570-0000</t>
  </si>
  <si>
    <t>         Motor Vehicle Maint</t>
  </si>
  <si>
    <t> 6590-0000</t>
  </si>
  <si>
    <t>         Misc Oper/Maintenance Exp</t>
  </si>
  <si>
    <t>          TOTAL MAINTENANCE EXPENSE</t>
  </si>
  <si>
    <t> 6711-0000</t>
  </si>
  <si>
    <t>         Payroll Taxes (Project Share)</t>
  </si>
  <si>
    <t> 6720-0000</t>
  </si>
  <si>
    <t>         Property and Liability Ins.</t>
  </si>
  <si>
    <t> 6722-0000</t>
  </si>
  <si>
    <t>         Worker's Compensation</t>
  </si>
  <si>
    <t> 6723-0000</t>
  </si>
  <si>
    <t>         Employee Health Ins &amp; Benefits</t>
  </si>
  <si>
    <t> 6790-0000</t>
  </si>
  <si>
    <t>         Misc Taxes, Licenses &amp; Permits</t>
  </si>
  <si>
    <t>          TOTAL TAXES AND INS. EXP.</t>
  </si>
  <si>
    <t>                TOTAL OPERATING EXPENSES</t>
  </si>
  <si>
    <t>                NET OPER INCOME/LOSS</t>
  </si>
  <si>
    <t>    FINANCIAL EXPENSE</t>
  </si>
  <si>
    <t> 6820-0000</t>
  </si>
  <si>
    <t>         Interest on Mortgage Payable</t>
  </si>
  <si>
    <t>          TOTAL FINANCIAL EXPENSE</t>
  </si>
  <si>
    <t>    CAPITAL EXPENDITURES</t>
  </si>
  <si>
    <t>          TOTAL CAPITAL EXPENDITURES</t>
  </si>
  <si>
    <t>                NET INCOME/LOSS BEFORE DEPR</t>
  </si>
  <si>
    <t>         Depreciation Expense</t>
  </si>
  <si>
    <t> 8012-0000</t>
  </si>
  <si>
    <t>         Amortization Expense</t>
  </si>
  <si>
    <t>          TOTAL DEPRECIATION &amp; AMORT</t>
  </si>
  <si>
    <t>                NET INCOME/LOSS AFTER DEPREC</t>
  </si>
  <si>
    <t>    ADJUSTMENTS</t>
  </si>
  <si>
    <t> 2320-0000</t>
  </si>
  <si>
    <t>         Mortgage Payable</t>
  </si>
  <si>
    <t>Actual</t>
  </si>
  <si>
    <t>Projection</t>
  </si>
  <si>
    <t xml:space="preserve">         Pet Fee Non Refundable</t>
  </si>
  <si>
    <t>OPERATING AND MAINT EXPENSE</t>
  </si>
  <si>
    <t>TAXES AND INSURANCE</t>
  </si>
  <si>
    <t xml:space="preserve">          Dues &amp; Subscriptions</t>
  </si>
  <si>
    <t>EXPENSES</t>
  </si>
  <si>
    <t>INCOME</t>
  </si>
  <si>
    <t xml:space="preserve">    Depreciation &amp; Amortization Expense</t>
  </si>
  <si>
    <t xml:space="preserve"> 6204-0000</t>
  </si>
  <si>
    <t>Parkview Village Apartments</t>
  </si>
  <si>
    <t xml:space="preserve"> 6310-0000  </t>
  </si>
  <si>
    <t xml:space="preserve">         Office Salaries</t>
  </si>
  <si>
    <t> 6520-8000</t>
  </si>
  <si>
    <t xml:space="preserve"> 5123-0000</t>
  </si>
  <si>
    <t>         Tenant Based Subsidy Rent </t>
  </si>
  <si>
    <t xml:space="preserve"> 5250-0000</t>
  </si>
  <si>
    <t xml:space="preserve">         Cable Revenue</t>
  </si>
  <si>
    <t xml:space="preserve">         Month to Month Rent</t>
  </si>
  <si>
    <t xml:space="preserve"> 5960-0000</t>
  </si>
  <si>
    <t xml:space="preserve"> 5990-0000</t>
  </si>
  <si>
    <t xml:space="preserve"> 5920-0018</t>
  </si>
  <si>
    <t xml:space="preserve"> 5920-0014</t>
  </si>
  <si>
    <t xml:space="preserve">         Employee Rent Free Unit</t>
  </si>
  <si>
    <t xml:space="preserve"> 6331-0000</t>
  </si>
  <si>
    <t xml:space="preserve"> 6340-0000</t>
  </si>
  <si>
    <t xml:space="preserve">         Legal Fees</t>
  </si>
  <si>
    <t xml:space="preserve">         Payroll</t>
  </si>
  <si>
    <t xml:space="preserve">         Temporary Laborers</t>
  </si>
  <si>
    <t xml:space="preserve">         Swimming Pool Maint</t>
  </si>
  <si>
    <t xml:space="preserve">         Real Estate Taxes</t>
  </si>
  <si>
    <t xml:space="preserve"> 6710-0000</t>
  </si>
  <si>
    <t xml:space="preserve"> 8010-0000</t>
  </si>
  <si>
    <t xml:space="preserve"> 6510-2000</t>
  </si>
  <si>
    <t xml:space="preserve"> 6510-0000</t>
  </si>
  <si>
    <t>          TOTAL ADJUSTMENTS</t>
  </si>
  <si>
    <t xml:space="preserve"> 1320-0000</t>
  </si>
  <si>
    <t xml:space="preserve">         Replacement Reserve</t>
  </si>
  <si>
    <t xml:space="preserve"> 5122-1000</t>
  </si>
  <si>
    <t xml:space="preserve">         Re-Leasiing Fee</t>
  </si>
  <si>
    <t> 5920-0006</t>
  </si>
  <si>
    <t>Chfa Annual fee Rocky Mt AHMA</t>
  </si>
  <si>
    <t>Sales Tax</t>
  </si>
  <si>
    <t xml:space="preserve">resurfacing; plumbing repairs, windows </t>
  </si>
  <si>
    <t xml:space="preserve">         Bad Debt Recovered</t>
  </si>
  <si>
    <t xml:space="preserve">         401K Plan Expense</t>
  </si>
  <si>
    <t>copier and office supplies</t>
  </si>
  <si>
    <t xml:space="preserve">annual isnpection plus replacing extinguishers </t>
  </si>
  <si>
    <t>Replace  &amp; repair a/c untis; heaters</t>
  </si>
  <si>
    <t xml:space="preserve">         Resident Activities</t>
  </si>
  <si>
    <t xml:space="preserve">3% increae; veritas waste/mo; </t>
  </si>
  <si>
    <t xml:space="preserve">carpet cleaning; unit painting ; at lease renewal paying carpet cleaning </t>
  </si>
  <si>
    <t>uniforms; entry mats</t>
  </si>
  <si>
    <t xml:space="preserve">         Rent Credit</t>
  </si>
  <si>
    <t xml:space="preserve">         Over Market Rent</t>
  </si>
  <si>
    <t xml:space="preserve"> 6210-0010</t>
  </si>
  <si>
    <t>.1365% Jan - April .0745 May- Dec</t>
  </si>
  <si>
    <t>$605/employee x 4 people split</t>
  </si>
  <si>
    <t>2 @ $100</t>
  </si>
  <si>
    <t>Budget Year 2017</t>
  </si>
  <si>
    <t>3 @$150</t>
  </si>
  <si>
    <t>2016</t>
  </si>
  <si>
    <t>01/16-07/16</t>
  </si>
  <si>
    <t>2017 Row</t>
  </si>
  <si>
    <t>9 app fees a month</t>
  </si>
  <si>
    <t>500/pp/4 &amp; $3000 extra training for staff throughout the year</t>
  </si>
  <si>
    <t>7 AT $50</t>
  </si>
  <si>
    <t>5 evictions @ $285 plus sheriff 4 @ $137</t>
  </si>
  <si>
    <t xml:space="preserve">monthly plus bed bug spray </t>
  </si>
  <si>
    <t>plus $300 flowers in april; $300 mulch in May; and sprinkler repairs</t>
  </si>
  <si>
    <t>carpet; appliances; plus 1 current rsident carpet in Jan</t>
  </si>
  <si>
    <t xml:space="preserve">    New roof @ A &amp; E</t>
  </si>
  <si>
    <t xml:space="preserve">    Replace deteriorating pipe stack Bldg B</t>
  </si>
  <si>
    <t>Assistant @ $16.00/hour bonus 5%</t>
  </si>
  <si>
    <t>$55,620/year plus 5% bonus (split between both)</t>
  </si>
  <si>
    <t>$62206/super; $16.00; $12.50</t>
  </si>
  <si>
    <t>Starting to charge all residents $32/month at renewal  95%</t>
  </si>
  <si>
    <t xml:space="preserve"> 6713-0000</t>
  </si>
  <si>
    <t xml:space="preserve"> 7209-0000</t>
  </si>
  <si>
    <t xml:space="preserve"> 7231-0000</t>
  </si>
  <si>
    <t>2.5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</si>
</sst>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3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i/>
      <u/>
      <sz val="8"/>
      <name val="Tahoma"/>
      <family val="2"/>
    </font>
    <font>
      <i/>
      <u/>
      <sz val="10"/>
      <name val="Arial"/>
      <family val="2"/>
    </font>
    <font>
      <b/>
      <i/>
      <u/>
      <sz val="8"/>
      <name val="Tahoma"/>
      <family val="2"/>
    </font>
    <font>
      <b/>
      <i/>
      <u/>
      <sz val="10"/>
      <name val="Arial"/>
      <family val="2"/>
    </font>
    <font>
      <b/>
      <sz val="10"/>
      <name val="Tahoma"/>
      <family val="2"/>
    </font>
    <font>
      <b/>
      <sz val="12"/>
      <color indexed="63"/>
      <name val="Tahoma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8"/>
      <color theme="3"/>
      <name val="Cambria"/>
      <family val="2"/>
      <scheme val="major"/>
    </font>
  </fonts>
  <fills count="3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22"/>
      </bottom>
      <diagonal/>
    </border>
    <border>
      <left/>
      <right/>
      <top style="medium">
        <color indexed="22"/>
      </top>
      <bottom/>
      <diagonal/>
    </border>
    <border>
      <left/>
      <right/>
      <top style="medium">
        <color theme="0" tint="-0.24994659260841701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0">
    <xf numFmtId="0" fontId="0" fillId="0" borderId="0"/>
    <xf numFmtId="43" fontId="3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5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7" applyNumberFormat="0" applyAlignment="0" applyProtection="0"/>
    <xf numFmtId="0" fontId="26" fillId="8" borderId="8" applyNumberFormat="0" applyAlignment="0" applyProtection="0"/>
    <xf numFmtId="0" fontId="27" fillId="8" borderId="7" applyNumberFormat="0" applyAlignment="0" applyProtection="0"/>
    <xf numFmtId="0" fontId="28" fillId="0" borderId="9" applyNumberFormat="0" applyFill="0" applyAlignment="0" applyProtection="0"/>
    <xf numFmtId="0" fontId="29" fillId="9" borderId="10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2" applyNumberFormat="0" applyFill="0" applyAlignment="0" applyProtection="0"/>
    <xf numFmtId="0" fontId="33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33" fillId="34" borderId="0" applyNumberFormat="0" applyBorder="0" applyAlignment="0" applyProtection="0"/>
    <xf numFmtId="0" fontId="2" fillId="0" borderId="0"/>
    <xf numFmtId="0" fontId="34" fillId="0" borderId="0" applyNumberFormat="0" applyFill="0" applyBorder="0" applyAlignment="0" applyProtection="0"/>
    <xf numFmtId="0" fontId="2" fillId="10" borderId="11" applyNumberFormat="0" applyFont="0" applyAlignment="0" applyProtection="0"/>
    <xf numFmtId="0" fontId="35" fillId="0" borderId="0" applyNumberFormat="0" applyFill="0" applyBorder="0" applyAlignment="0" applyProtection="0"/>
    <xf numFmtId="0" fontId="1" fillId="0" borderId="0"/>
    <xf numFmtId="0" fontId="1" fillId="10" borderId="11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81">
    <xf numFmtId="0" fontId="0" fillId="0" borderId="0" xfId="0"/>
    <xf numFmtId="0" fontId="5" fillId="2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164" fontId="5" fillId="2" borderId="0" xfId="1" applyNumberFormat="1" applyFont="1" applyFill="1" applyAlignment="1">
      <alignment horizontal="center" vertical="center"/>
    </xf>
    <xf numFmtId="164" fontId="5" fillId="2" borderId="1" xfId="1" applyNumberFormat="1" applyFont="1" applyFill="1" applyBorder="1" applyAlignment="1">
      <alignment horizontal="center" vertical="center"/>
    </xf>
    <xf numFmtId="164" fontId="6" fillId="0" borderId="0" xfId="1" applyNumberFormat="1" applyFont="1" applyAlignment="1">
      <alignment horizontal="left"/>
    </xf>
    <xf numFmtId="164" fontId="6" fillId="0" borderId="0" xfId="1" applyNumberFormat="1" applyFont="1" applyAlignment="1">
      <alignment horizontal="center"/>
    </xf>
    <xf numFmtId="164" fontId="0" fillId="0" borderId="0" xfId="1" applyNumberFormat="1" applyFont="1"/>
    <xf numFmtId="164" fontId="6" fillId="0" borderId="0" xfId="1" applyNumberFormat="1" applyFont="1" applyBorder="1" applyAlignment="1">
      <alignment horizontal="right"/>
    </xf>
    <xf numFmtId="164" fontId="5" fillId="0" borderId="2" xfId="1" applyNumberFormat="1" applyFont="1" applyBorder="1" applyAlignment="1">
      <alignment horizontal="right"/>
    </xf>
    <xf numFmtId="0" fontId="9" fillId="0" borderId="0" xfId="0" applyFont="1"/>
    <xf numFmtId="0" fontId="10" fillId="0" borderId="0" xfId="0" applyFont="1" applyAlignment="1">
      <alignment horizontal="left"/>
    </xf>
    <xf numFmtId="164" fontId="10" fillId="0" borderId="0" xfId="1" applyNumberFormat="1" applyFont="1" applyAlignment="1">
      <alignment horizontal="left"/>
    </xf>
    <xf numFmtId="0" fontId="11" fillId="0" borderId="0" xfId="0" applyFont="1"/>
    <xf numFmtId="0" fontId="12" fillId="0" borderId="0" xfId="0" applyFont="1" applyAlignment="1">
      <alignment horizontal="left"/>
    </xf>
    <xf numFmtId="164" fontId="12" fillId="0" borderId="0" xfId="1" applyNumberFormat="1" applyFont="1" applyBorder="1" applyAlignment="1">
      <alignment horizontal="right"/>
    </xf>
    <xf numFmtId="0" fontId="13" fillId="0" borderId="0" xfId="0" applyFont="1"/>
    <xf numFmtId="164" fontId="12" fillId="0" borderId="0" xfId="1" applyNumberFormat="1" applyFont="1" applyAlignment="1">
      <alignment horizontal="left"/>
    </xf>
    <xf numFmtId="0" fontId="0" fillId="0" borderId="0" xfId="0" applyFill="1"/>
    <xf numFmtId="0" fontId="6" fillId="0" borderId="0" xfId="0" applyFont="1" applyFill="1" applyAlignment="1">
      <alignment horizontal="left"/>
    </xf>
    <xf numFmtId="164" fontId="6" fillId="0" borderId="0" xfId="1" applyNumberFormat="1" applyFont="1" applyFill="1" applyAlignment="1">
      <alignment horizontal="right"/>
    </xf>
    <xf numFmtId="164" fontId="6" fillId="0" borderId="0" xfId="1" applyNumberFormat="1" applyFont="1" applyFill="1" applyAlignment="1">
      <alignment horizontal="left"/>
    </xf>
    <xf numFmtId="0" fontId="9" fillId="0" borderId="0" xfId="0" applyFont="1" applyFill="1"/>
    <xf numFmtId="0" fontId="13" fillId="0" borderId="0" xfId="0" applyFont="1" applyFill="1"/>
    <xf numFmtId="164" fontId="5" fillId="0" borderId="0" xfId="1" applyNumberFormat="1" applyFont="1" applyBorder="1" applyAlignment="1">
      <alignment horizontal="right"/>
    </xf>
    <xf numFmtId="164" fontId="6" fillId="0" borderId="0" xfId="1" applyNumberFormat="1" applyFont="1" applyFill="1" applyBorder="1" applyAlignment="1">
      <alignment horizontal="right"/>
    </xf>
    <xf numFmtId="0" fontId="12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164" fontId="5" fillId="0" borderId="2" xfId="1" applyNumberFormat="1" applyFont="1" applyFill="1" applyBorder="1" applyAlignment="1">
      <alignment horizontal="right"/>
    </xf>
    <xf numFmtId="0" fontId="6" fillId="0" borderId="0" xfId="0" applyFont="1" applyFill="1" applyAlignment="1">
      <alignment horizontal="center"/>
    </xf>
    <xf numFmtId="164" fontId="6" fillId="0" borderId="0" xfId="1" applyNumberFormat="1" applyFont="1" applyFill="1" applyAlignment="1">
      <alignment horizontal="center"/>
    </xf>
    <xf numFmtId="0" fontId="14" fillId="0" borderId="0" xfId="0" applyFont="1" applyFill="1" applyAlignment="1">
      <alignment horizontal="left"/>
    </xf>
    <xf numFmtId="164" fontId="12" fillId="0" borderId="0" xfId="1" applyNumberFormat="1" applyFont="1" applyFill="1" applyAlignment="1">
      <alignment horizontal="left"/>
    </xf>
    <xf numFmtId="164" fontId="12" fillId="0" borderId="0" xfId="1" applyNumberFormat="1" applyFont="1" applyFill="1" applyBorder="1" applyAlignment="1">
      <alignment horizontal="right"/>
    </xf>
    <xf numFmtId="164" fontId="5" fillId="0" borderId="0" xfId="1" applyNumberFormat="1" applyFont="1" applyFill="1" applyAlignment="1">
      <alignment horizontal="center"/>
    </xf>
    <xf numFmtId="164" fontId="8" fillId="0" borderId="0" xfId="1" applyNumberFormat="1" applyFont="1" applyFill="1"/>
    <xf numFmtId="0" fontId="0" fillId="0" borderId="0" xfId="0" applyBorder="1"/>
    <xf numFmtId="0" fontId="9" fillId="0" borderId="0" xfId="0" applyFont="1" applyBorder="1"/>
    <xf numFmtId="0" fontId="13" fillId="0" borderId="0" xfId="0" applyFont="1" applyBorder="1"/>
    <xf numFmtId="0" fontId="0" fillId="0" borderId="0" xfId="0" applyFill="1" applyBorder="1"/>
    <xf numFmtId="0" fontId="9" fillId="0" borderId="0" xfId="0" applyFont="1" applyFill="1" applyBorder="1"/>
    <xf numFmtId="0" fontId="13" fillId="0" borderId="0" xfId="0" applyFont="1" applyFill="1" applyBorder="1"/>
    <xf numFmtId="0" fontId="16" fillId="0" borderId="0" xfId="0" applyFont="1" applyFill="1" applyBorder="1"/>
    <xf numFmtId="9" fontId="0" fillId="0" borderId="0" xfId="0" applyNumberFormat="1" applyBorder="1"/>
    <xf numFmtId="164" fontId="6" fillId="0" borderId="0" xfId="1" applyNumberFormat="1" applyFont="1" applyFill="1" applyBorder="1" applyAlignment="1">
      <alignment horizontal="left"/>
    </xf>
    <xf numFmtId="0" fontId="0" fillId="0" borderId="0" xfId="0" applyFont="1" applyFill="1" applyBorder="1"/>
    <xf numFmtId="0" fontId="11" fillId="0" borderId="0" xfId="0" applyFont="1" applyBorder="1"/>
    <xf numFmtId="9" fontId="0" fillId="0" borderId="0" xfId="0" applyNumberFormat="1" applyFill="1" applyBorder="1"/>
    <xf numFmtId="0" fontId="8" fillId="0" borderId="0" xfId="0" applyFont="1" applyFill="1"/>
    <xf numFmtId="0" fontId="11" fillId="0" borderId="0" xfId="0" applyFont="1" applyFill="1"/>
    <xf numFmtId="0" fontId="5" fillId="0" borderId="0" xfId="0" applyFont="1" applyFill="1" applyAlignment="1">
      <alignment horizontal="center"/>
    </xf>
    <xf numFmtId="164" fontId="0" fillId="0" borderId="0" xfId="1" applyNumberFormat="1" applyFont="1" applyFill="1"/>
    <xf numFmtId="0" fontId="8" fillId="0" borderId="0" xfId="0" applyFont="1" applyFill="1" applyBorder="1"/>
    <xf numFmtId="164" fontId="5" fillId="0" borderId="3" xfId="1" applyNumberFormat="1" applyFont="1" applyFill="1" applyBorder="1" applyAlignment="1">
      <alignment horizontal="right"/>
    </xf>
    <xf numFmtId="164" fontId="5" fillId="3" borderId="0" xfId="1" applyNumberFormat="1" applyFont="1" applyFill="1" applyAlignment="1">
      <alignment horizontal="center" vertical="center"/>
    </xf>
    <xf numFmtId="164" fontId="5" fillId="3" borderId="1" xfId="1" applyNumberFormat="1" applyFont="1" applyFill="1" applyBorder="1" applyAlignment="1">
      <alignment horizontal="center" vertical="center"/>
    </xf>
    <xf numFmtId="164" fontId="10" fillId="0" borderId="0" xfId="1" applyNumberFormat="1" applyFont="1" applyFill="1" applyAlignment="1">
      <alignment horizontal="left"/>
    </xf>
    <xf numFmtId="164" fontId="17" fillId="0" borderId="0" xfId="1" applyNumberFormat="1" applyFont="1" applyFill="1"/>
    <xf numFmtId="0" fontId="3" fillId="0" borderId="0" xfId="0" applyFont="1" applyFill="1" applyBorder="1"/>
    <xf numFmtId="9" fontId="0" fillId="0" borderId="0" xfId="0" quotePrefix="1" applyNumberFormat="1" applyFill="1" applyBorder="1"/>
    <xf numFmtId="9" fontId="3" fillId="0" borderId="0" xfId="2" quotePrefix="1" applyFont="1" applyFill="1"/>
    <xf numFmtId="164" fontId="5" fillId="0" borderId="0" xfId="1" applyNumberFormat="1" applyFont="1" applyFill="1" applyBorder="1" applyAlignment="1">
      <alignment horizontal="right"/>
    </xf>
    <xf numFmtId="0" fontId="16" fillId="0" borderId="0" xfId="0" applyFont="1" applyFill="1"/>
    <xf numFmtId="43" fontId="8" fillId="0" borderId="0" xfId="1" applyNumberFormat="1" applyFont="1" applyFill="1"/>
    <xf numFmtId="164" fontId="6" fillId="0" borderId="0" xfId="1" quotePrefix="1" applyNumberFormat="1" applyFont="1" applyFill="1" applyAlignment="1">
      <alignment horizontal="right"/>
    </xf>
    <xf numFmtId="0" fontId="24" fillId="0" borderId="0" xfId="9" applyFill="1" applyBorder="1"/>
    <xf numFmtId="164" fontId="12" fillId="0" borderId="0" xfId="1" applyNumberFormat="1" applyFont="1" applyFill="1" applyAlignment="1">
      <alignment horizontal="right"/>
    </xf>
    <xf numFmtId="164" fontId="10" fillId="0" borderId="0" xfId="1" applyNumberFormat="1" applyFont="1" applyFill="1" applyAlignment="1">
      <alignment horizontal="right"/>
    </xf>
    <xf numFmtId="164" fontId="5" fillId="0" borderId="0" xfId="1" applyNumberFormat="1" applyFont="1" applyFill="1" applyAlignment="1">
      <alignment horizontal="right"/>
    </xf>
    <xf numFmtId="164" fontId="5" fillId="3" borderId="0" xfId="1" quotePrefix="1" applyNumberFormat="1" applyFont="1" applyFill="1" applyAlignment="1">
      <alignment horizontal="center" vertical="center"/>
    </xf>
    <xf numFmtId="43" fontId="6" fillId="0" borderId="0" xfId="1" applyNumberFormat="1" applyFont="1" applyFill="1" applyBorder="1" applyAlignment="1">
      <alignment horizontal="right"/>
    </xf>
    <xf numFmtId="43" fontId="3" fillId="0" borderId="0" xfId="1" applyFont="1" applyFill="1"/>
    <xf numFmtId="0" fontId="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5" fillId="2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64" fontId="5" fillId="2" borderId="0" xfId="1" applyNumberFormat="1" applyFont="1" applyFill="1" applyAlignment="1">
      <alignment horizontal="center" vertical="center"/>
    </xf>
    <xf numFmtId="164" fontId="5" fillId="2" borderId="1" xfId="1" applyNumberFormat="1" applyFont="1" applyFill="1" applyBorder="1" applyAlignment="1">
      <alignment horizontal="center" vertical="center"/>
    </xf>
  </cellXfs>
  <cellStyles count="60">
    <cellStyle name="20% - Accent1" xfId="19" builtinId="30" customBuiltin="1"/>
    <cellStyle name="20% - Accent1 2" xfId="48"/>
    <cellStyle name="20% - Accent2" xfId="23" builtinId="34" customBuiltin="1"/>
    <cellStyle name="20% - Accent2 2" xfId="50"/>
    <cellStyle name="20% - Accent3" xfId="27" builtinId="38" customBuiltin="1"/>
    <cellStyle name="20% - Accent3 2" xfId="52"/>
    <cellStyle name="20% - Accent4" xfId="31" builtinId="42" customBuiltin="1"/>
    <cellStyle name="20% - Accent4 2" xfId="54"/>
    <cellStyle name="20% - Accent5" xfId="35" builtinId="46" customBuiltin="1"/>
    <cellStyle name="20% - Accent5 2" xfId="56"/>
    <cellStyle name="20% - Accent6" xfId="39" builtinId="50" customBuiltin="1"/>
    <cellStyle name="20% - Accent6 2" xfId="58"/>
    <cellStyle name="40% - Accent1" xfId="20" builtinId="31" customBuiltin="1"/>
    <cellStyle name="40% - Accent1 2" xfId="49"/>
    <cellStyle name="40% - Accent2" xfId="24" builtinId="35" customBuiltin="1"/>
    <cellStyle name="40% - Accent2 2" xfId="51"/>
    <cellStyle name="40% - Accent3" xfId="28" builtinId="39" customBuiltin="1"/>
    <cellStyle name="40% - Accent3 2" xfId="53"/>
    <cellStyle name="40% - Accent4" xfId="32" builtinId="43" customBuiltin="1"/>
    <cellStyle name="40% - Accent4 2" xfId="55"/>
    <cellStyle name="40% - Accent5" xfId="36" builtinId="47" customBuiltin="1"/>
    <cellStyle name="40% - Accent5 2" xfId="57"/>
    <cellStyle name="40% - Accent6" xfId="40" builtinId="51" customBuiltin="1"/>
    <cellStyle name="40% - Accent6 2" xfId="59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6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2"/>
    <cellStyle name="Normal 3" xfId="46"/>
    <cellStyle name="Note 2" xfId="44"/>
    <cellStyle name="Note 3" xfId="47"/>
    <cellStyle name="Output" xfId="11" builtinId="21" customBuiltin="1"/>
    <cellStyle name="Percent" xfId="2" builtinId="5"/>
    <cellStyle name="Title" xfId="45" builtinId="15" customBuiltin="1"/>
    <cellStyle name="Title 2" xfId="43"/>
    <cellStyle name="Total" xfId="17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usernames" Target="revisions/userNam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1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4234F579-4AF6-4E46-8448-90AD9481FB5A}" protected="1">
  <header guid="{4234F579-4AF6-4E46-8448-90AD9481FB5A}" dateTime="2017-02-03T15:02:26" maxSheetId="2" userName="Keith Roberts" r:id="rId1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1">
  <userInfo guid="{4234F579-4AF6-4E46-8448-90AD9481FB5A}" name="Keith Roberts" id="-396684853" dateTime="2017-02-03T15:02:26"/>
</user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7@%20$150" TargetMode="Externa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129"/>
  <sheetViews>
    <sheetView tabSelected="1" zoomScaleNormal="100" workbookViewId="0">
      <pane ySplit="1740" topLeftCell="A64" activePane="bottomLeft"/>
      <selection activeCell="D5" sqref="D5"/>
      <selection pane="bottomLeft" activeCell="G73" sqref="G73"/>
    </sheetView>
  </sheetViews>
  <sheetFormatPr defaultRowHeight="12.75" x14ac:dyDescent="0.2"/>
  <cols>
    <col min="2" max="2" width="32" customWidth="1"/>
    <col min="3" max="3" width="2.7109375" customWidth="1"/>
    <col min="4" max="4" width="14.28515625" style="60" customWidth="1"/>
    <col min="5" max="5" width="12.5703125" style="60" customWidth="1"/>
    <col min="6" max="6" width="12" style="10" customWidth="1"/>
    <col min="7" max="7" width="10" style="10" bestFit="1" customWidth="1"/>
    <col min="8" max="8" width="9.85546875" style="10" bestFit="1" customWidth="1"/>
    <col min="9" max="9" width="10.7109375" style="10" customWidth="1"/>
    <col min="10" max="17" width="9.85546875" style="10" bestFit="1" customWidth="1"/>
    <col min="18" max="18" width="11" style="10" bestFit="1" customWidth="1"/>
    <col min="19" max="19" width="9.28515625" style="39" bestFit="1" customWidth="1"/>
    <col min="20" max="22" width="9.140625" style="39"/>
  </cols>
  <sheetData>
    <row r="1" spans="1:41" ht="15" x14ac:dyDescent="0.2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</row>
    <row r="2" spans="1:41" ht="15" x14ac:dyDescent="0.2">
      <c r="A2" s="76" t="s">
        <v>153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</row>
    <row r="3" spans="1:41" ht="15" x14ac:dyDescent="0.2">
      <c r="A3" s="76" t="s">
        <v>202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</row>
    <row r="4" spans="1:41" x14ac:dyDescent="0.2">
      <c r="A4" s="1" t="s">
        <v>1</v>
      </c>
      <c r="B4" s="1" t="s">
        <v>1</v>
      </c>
      <c r="C4" s="77"/>
      <c r="D4" s="57" t="s">
        <v>143</v>
      </c>
      <c r="E4" s="72" t="s">
        <v>204</v>
      </c>
      <c r="F4" s="6" t="s">
        <v>206</v>
      </c>
      <c r="G4" s="79" t="s">
        <v>5</v>
      </c>
      <c r="H4" s="79" t="s">
        <v>6</v>
      </c>
      <c r="I4" s="79" t="s">
        <v>7</v>
      </c>
      <c r="J4" s="79" t="s">
        <v>8</v>
      </c>
      <c r="K4" s="79" t="s">
        <v>9</v>
      </c>
      <c r="L4" s="79" t="s">
        <v>10</v>
      </c>
      <c r="M4" s="79" t="s">
        <v>11</v>
      </c>
      <c r="N4" s="79" t="s">
        <v>12</v>
      </c>
      <c r="O4" s="79" t="s">
        <v>13</v>
      </c>
      <c r="P4" s="79" t="s">
        <v>14</v>
      </c>
      <c r="Q4" s="79" t="s">
        <v>15</v>
      </c>
      <c r="R4" s="79" t="s">
        <v>16</v>
      </c>
    </row>
    <row r="5" spans="1:41" ht="13.5" thickBot="1" x14ac:dyDescent="0.25">
      <c r="A5" s="2" t="s">
        <v>2</v>
      </c>
      <c r="B5" s="2" t="s">
        <v>3</v>
      </c>
      <c r="C5" s="78"/>
      <c r="D5" s="58" t="s">
        <v>205</v>
      </c>
      <c r="E5" s="58" t="s">
        <v>144</v>
      </c>
      <c r="F5" s="7" t="s">
        <v>4</v>
      </c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</row>
    <row r="6" spans="1:41" s="21" customFormat="1" x14ac:dyDescent="0.2">
      <c r="A6" s="30" t="s">
        <v>150</v>
      </c>
      <c r="C6" s="30" t="s">
        <v>17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42"/>
      <c r="T6" s="42"/>
      <c r="U6" s="42"/>
      <c r="V6" s="42"/>
    </row>
    <row r="7" spans="1:41" s="21" customFormat="1" x14ac:dyDescent="0.2">
      <c r="A7" s="22" t="s">
        <v>18</v>
      </c>
      <c r="B7" s="22" t="s">
        <v>19</v>
      </c>
      <c r="C7" s="22" t="s">
        <v>17</v>
      </c>
      <c r="D7" s="23">
        <v>382978.11</v>
      </c>
      <c r="E7" s="23">
        <f>D7/7*12</f>
        <v>656533.90285714285</v>
      </c>
      <c r="F7" s="23">
        <f>SUM(G7:R7)</f>
        <v>968833</v>
      </c>
      <c r="G7" s="23">
        <v>79255</v>
      </c>
      <c r="H7" s="23">
        <v>79296</v>
      </c>
      <c r="I7" s="23">
        <v>79818</v>
      </c>
      <c r="J7" s="23">
        <v>80109</v>
      </c>
      <c r="K7" s="23">
        <v>80179</v>
      </c>
      <c r="L7" s="23">
        <v>80249</v>
      </c>
      <c r="M7" s="23">
        <v>80569</v>
      </c>
      <c r="N7" s="23">
        <v>81000</v>
      </c>
      <c r="O7" s="23">
        <v>81853</v>
      </c>
      <c r="P7" s="23">
        <v>82042</v>
      </c>
      <c r="Q7" s="23">
        <v>82216</v>
      </c>
      <c r="R7" s="23">
        <v>82247</v>
      </c>
      <c r="S7" s="42"/>
      <c r="T7" s="42"/>
      <c r="U7" s="42"/>
      <c r="V7" s="42"/>
    </row>
    <row r="8" spans="1:41" s="21" customFormat="1" x14ac:dyDescent="0.2">
      <c r="A8" s="22" t="s">
        <v>181</v>
      </c>
      <c r="B8" s="22" t="s">
        <v>197</v>
      </c>
      <c r="C8" s="22"/>
      <c r="D8" s="23">
        <v>10351</v>
      </c>
      <c r="E8" s="23">
        <f t="shared" ref="E8:E9" si="0">D8/7*12</f>
        <v>17744.571428571428</v>
      </c>
      <c r="F8" s="23">
        <f>SUM(G8:R8)</f>
        <v>7058</v>
      </c>
      <c r="G8" s="23">
        <v>550</v>
      </c>
      <c r="H8" s="23">
        <v>550</v>
      </c>
      <c r="I8" s="23">
        <v>536</v>
      </c>
      <c r="J8" s="23">
        <v>531</v>
      </c>
      <c r="K8" s="23">
        <v>531</v>
      </c>
      <c r="L8" s="23">
        <v>547</v>
      </c>
      <c r="M8" s="23">
        <v>494</v>
      </c>
      <c r="N8" s="23">
        <v>526</v>
      </c>
      <c r="O8" s="23">
        <v>526</v>
      </c>
      <c r="P8" s="23">
        <v>653</v>
      </c>
      <c r="Q8" s="23">
        <v>807</v>
      </c>
      <c r="R8" s="23">
        <v>807</v>
      </c>
      <c r="S8" s="42"/>
      <c r="T8" s="42"/>
      <c r="U8" s="42"/>
      <c r="V8" s="42"/>
    </row>
    <row r="9" spans="1:41" s="21" customFormat="1" ht="13.5" thickBot="1" x14ac:dyDescent="0.25">
      <c r="A9" s="22" t="s">
        <v>157</v>
      </c>
      <c r="B9" s="22" t="s">
        <v>158</v>
      </c>
      <c r="C9" s="22"/>
      <c r="D9" s="23">
        <v>157085.89000000001</v>
      </c>
      <c r="E9" s="23">
        <f t="shared" si="0"/>
        <v>269290.09714285715</v>
      </c>
      <c r="F9" s="23">
        <f>SUM(G9:R9)</f>
        <v>0</v>
      </c>
      <c r="G9" s="23">
        <v>0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  <c r="P9" s="23">
        <v>0</v>
      </c>
      <c r="Q9" s="23">
        <v>0</v>
      </c>
      <c r="R9" s="23">
        <v>0</v>
      </c>
      <c r="S9" s="42"/>
      <c r="T9" s="42"/>
      <c r="U9" s="42"/>
      <c r="V9" s="42"/>
    </row>
    <row r="10" spans="1:41" s="25" customFormat="1" x14ac:dyDescent="0.2">
      <c r="A10" s="30"/>
      <c r="B10" s="30" t="s">
        <v>20</v>
      </c>
      <c r="C10" s="30" t="s">
        <v>17</v>
      </c>
      <c r="D10" s="31">
        <f>SUM(D7:D9)</f>
        <v>550415</v>
      </c>
      <c r="E10" s="31">
        <f t="shared" ref="E10:F10" si="1">SUM(E7:E9)</f>
        <v>943568.57142857148</v>
      </c>
      <c r="F10" s="31">
        <f t="shared" si="1"/>
        <v>975891</v>
      </c>
      <c r="G10" s="31">
        <f>SUM(G7:G9)</f>
        <v>79805</v>
      </c>
      <c r="H10" s="31">
        <f t="shared" ref="H10:R10" si="2">SUM(H7:H9)</f>
        <v>79846</v>
      </c>
      <c r="I10" s="31">
        <f t="shared" si="2"/>
        <v>80354</v>
      </c>
      <c r="J10" s="31">
        <f t="shared" si="2"/>
        <v>80640</v>
      </c>
      <c r="K10" s="31">
        <f t="shared" si="2"/>
        <v>80710</v>
      </c>
      <c r="L10" s="31">
        <f t="shared" si="2"/>
        <v>80796</v>
      </c>
      <c r="M10" s="31">
        <f t="shared" si="2"/>
        <v>81063</v>
      </c>
      <c r="N10" s="31">
        <f t="shared" si="2"/>
        <v>81526</v>
      </c>
      <c r="O10" s="31">
        <f t="shared" si="2"/>
        <v>82379</v>
      </c>
      <c r="P10" s="31">
        <f t="shared" si="2"/>
        <v>82695</v>
      </c>
      <c r="Q10" s="31">
        <f t="shared" si="2"/>
        <v>83023</v>
      </c>
      <c r="R10" s="31">
        <f t="shared" si="2"/>
        <v>83054</v>
      </c>
      <c r="S10" s="43"/>
      <c r="T10" s="43"/>
      <c r="U10" s="43"/>
      <c r="V10" s="43"/>
    </row>
    <row r="11" spans="1:41" s="21" customFormat="1" x14ac:dyDescent="0.2">
      <c r="A11" s="32"/>
      <c r="B11" s="32"/>
      <c r="C11" s="32"/>
      <c r="D11" s="33"/>
      <c r="E11" s="2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42"/>
      <c r="T11" s="42"/>
      <c r="U11" s="42"/>
      <c r="V11" s="42"/>
    </row>
    <row r="12" spans="1:41" s="26" customFormat="1" x14ac:dyDescent="0.2">
      <c r="A12" s="29"/>
      <c r="B12" s="29" t="s">
        <v>21</v>
      </c>
      <c r="C12" s="29"/>
      <c r="D12" s="35"/>
      <c r="E12" s="23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44"/>
      <c r="T12" s="44"/>
      <c r="U12" s="44"/>
      <c r="V12" s="44"/>
    </row>
    <row r="13" spans="1:41" s="21" customFormat="1" x14ac:dyDescent="0.2">
      <c r="A13" s="22" t="s">
        <v>22</v>
      </c>
      <c r="B13" s="22" t="s">
        <v>23</v>
      </c>
      <c r="C13" s="22" t="s">
        <v>17</v>
      </c>
      <c r="D13" s="23">
        <v>-9841.4</v>
      </c>
      <c r="E13" s="23">
        <f>D13/7*12</f>
        <v>-16870.971428571429</v>
      </c>
      <c r="F13" s="23">
        <f>SUM(G13:R13)</f>
        <v>-24397.274999999998</v>
      </c>
      <c r="G13" s="24">
        <f>G10*-0.025</f>
        <v>-1995.125</v>
      </c>
      <c r="H13" s="24">
        <f t="shared" ref="H13:R13" si="3">H10*-0.025</f>
        <v>-1996.15</v>
      </c>
      <c r="I13" s="24">
        <f t="shared" si="3"/>
        <v>-2008.8500000000001</v>
      </c>
      <c r="J13" s="24">
        <f t="shared" si="3"/>
        <v>-2016</v>
      </c>
      <c r="K13" s="24">
        <f t="shared" si="3"/>
        <v>-2017.75</v>
      </c>
      <c r="L13" s="24">
        <f t="shared" si="3"/>
        <v>-2019.9</v>
      </c>
      <c r="M13" s="24">
        <f t="shared" si="3"/>
        <v>-2026.575</v>
      </c>
      <c r="N13" s="24">
        <f t="shared" si="3"/>
        <v>-2038.15</v>
      </c>
      <c r="O13" s="24">
        <f t="shared" si="3"/>
        <v>-2059.4749999999999</v>
      </c>
      <c r="P13" s="24">
        <f t="shared" si="3"/>
        <v>-2067.375</v>
      </c>
      <c r="Q13" s="24">
        <f t="shared" si="3"/>
        <v>-2075.5750000000003</v>
      </c>
      <c r="R13" s="24">
        <f t="shared" si="3"/>
        <v>-2076.35</v>
      </c>
      <c r="S13" s="62" t="s">
        <v>223</v>
      </c>
      <c r="T13" s="42"/>
      <c r="U13" s="42"/>
      <c r="V13" s="42"/>
    </row>
    <row r="14" spans="1:41" s="21" customFormat="1" x14ac:dyDescent="0.2">
      <c r="A14" s="22" t="s">
        <v>159</v>
      </c>
      <c r="B14" s="22" t="s">
        <v>196</v>
      </c>
      <c r="C14" s="22"/>
      <c r="D14" s="23">
        <v>-1000</v>
      </c>
      <c r="E14" s="23">
        <f t="shared" ref="E14:E15" si="4">D14/7*12</f>
        <v>-1714.2857142857142</v>
      </c>
      <c r="F14" s="23">
        <f>SUM(G14:R14)</f>
        <v>-600</v>
      </c>
      <c r="G14" s="24">
        <v>-50</v>
      </c>
      <c r="H14" s="24">
        <v>-50</v>
      </c>
      <c r="I14" s="24">
        <v>-50</v>
      </c>
      <c r="J14" s="24">
        <v>-50</v>
      </c>
      <c r="K14" s="24">
        <v>-50</v>
      </c>
      <c r="L14" s="24">
        <v>-50</v>
      </c>
      <c r="M14" s="24">
        <v>-50</v>
      </c>
      <c r="N14" s="24">
        <v>-50</v>
      </c>
      <c r="O14" s="24">
        <v>-50</v>
      </c>
      <c r="P14" s="24">
        <v>-50</v>
      </c>
      <c r="Q14" s="24">
        <v>-50</v>
      </c>
      <c r="R14" s="24">
        <v>-50</v>
      </c>
      <c r="S14" s="42"/>
      <c r="T14" s="42"/>
      <c r="U14" s="42"/>
      <c r="V14" s="42"/>
    </row>
    <row r="15" spans="1:41" s="21" customFormat="1" ht="13.5" thickBot="1" x14ac:dyDescent="0.25">
      <c r="A15" s="22" t="s">
        <v>24</v>
      </c>
      <c r="B15" s="22" t="s">
        <v>25</v>
      </c>
      <c r="C15" s="22" t="s">
        <v>17</v>
      </c>
      <c r="D15" s="28">
        <v>-601</v>
      </c>
      <c r="E15" s="23">
        <f t="shared" si="4"/>
        <v>-1030.2857142857142</v>
      </c>
      <c r="F15" s="23">
        <f t="shared" ref="F15" si="5">SUM(G15:R15)</f>
        <v>-97</v>
      </c>
      <c r="G15" s="24">
        <v>-29</v>
      </c>
      <c r="H15" s="24">
        <v>-29</v>
      </c>
      <c r="I15" s="24">
        <v>-29</v>
      </c>
      <c r="J15" s="24">
        <v>-4</v>
      </c>
      <c r="K15" s="24">
        <v>-4</v>
      </c>
      <c r="L15" s="24">
        <v>-2</v>
      </c>
      <c r="M15" s="24">
        <v>0</v>
      </c>
      <c r="N15" s="24">
        <v>0</v>
      </c>
      <c r="O15" s="24">
        <v>0</v>
      </c>
      <c r="P15" s="24">
        <v>0</v>
      </c>
      <c r="Q15" s="24">
        <v>0</v>
      </c>
      <c r="R15" s="24">
        <v>0</v>
      </c>
      <c r="S15" s="43"/>
      <c r="T15" s="43"/>
      <c r="U15" s="43"/>
      <c r="V15" s="43"/>
      <c r="W15" s="25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</row>
    <row r="16" spans="1:41" s="26" customFormat="1" x14ac:dyDescent="0.2">
      <c r="A16" s="30"/>
      <c r="B16" s="30" t="s">
        <v>26</v>
      </c>
      <c r="C16" s="30" t="s">
        <v>17</v>
      </c>
      <c r="D16" s="31">
        <f t="shared" ref="D16:R16" si="6">SUM(D13:D15)</f>
        <v>-11442.4</v>
      </c>
      <c r="E16" s="31">
        <f t="shared" si="6"/>
        <v>-19615.542857142857</v>
      </c>
      <c r="F16" s="31">
        <f t="shared" si="6"/>
        <v>-25094.274999999998</v>
      </c>
      <c r="G16" s="31">
        <f t="shared" si="6"/>
        <v>-2074.125</v>
      </c>
      <c r="H16" s="31">
        <f t="shared" si="6"/>
        <v>-2075.15</v>
      </c>
      <c r="I16" s="31">
        <f t="shared" si="6"/>
        <v>-2087.8500000000004</v>
      </c>
      <c r="J16" s="31">
        <f t="shared" si="6"/>
        <v>-2070</v>
      </c>
      <c r="K16" s="31">
        <f t="shared" si="6"/>
        <v>-2071.75</v>
      </c>
      <c r="L16" s="31">
        <f t="shared" si="6"/>
        <v>-2071.9</v>
      </c>
      <c r="M16" s="31">
        <f t="shared" si="6"/>
        <v>-2076.5749999999998</v>
      </c>
      <c r="N16" s="31">
        <f t="shared" si="6"/>
        <v>-2088.15</v>
      </c>
      <c r="O16" s="31">
        <f t="shared" si="6"/>
        <v>-2109.4749999999999</v>
      </c>
      <c r="P16" s="31">
        <f t="shared" si="6"/>
        <v>-2117.375</v>
      </c>
      <c r="Q16" s="31">
        <f t="shared" si="6"/>
        <v>-2125.5750000000003</v>
      </c>
      <c r="R16" s="31">
        <f t="shared" si="6"/>
        <v>-2126.35</v>
      </c>
      <c r="S16" s="42"/>
      <c r="T16" s="42"/>
      <c r="U16" s="42"/>
      <c r="V16" s="42"/>
      <c r="W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</row>
    <row r="17" spans="1:45" s="21" customFormat="1" x14ac:dyDescent="0.2">
      <c r="A17" s="32"/>
      <c r="B17" s="32"/>
      <c r="C17" s="32"/>
      <c r="D17" s="33"/>
      <c r="E17" s="2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44"/>
      <c r="T17" s="44"/>
      <c r="U17" s="44"/>
      <c r="V17" s="44"/>
      <c r="W17" s="26"/>
    </row>
    <row r="18" spans="1:45" s="21" customFormat="1" x14ac:dyDescent="0.2">
      <c r="A18" s="29"/>
      <c r="B18" s="29" t="s">
        <v>27</v>
      </c>
      <c r="C18" s="29"/>
      <c r="D18" s="35"/>
      <c r="E18" s="69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42"/>
      <c r="T18" s="42"/>
      <c r="U18" s="42"/>
      <c r="V18" s="42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</row>
    <row r="19" spans="1:45" s="25" customFormat="1" x14ac:dyDescent="0.2">
      <c r="A19" s="22" t="s">
        <v>28</v>
      </c>
      <c r="B19" s="22" t="s">
        <v>29</v>
      </c>
      <c r="C19" s="22" t="s">
        <v>17</v>
      </c>
      <c r="D19" s="67">
        <v>33</v>
      </c>
      <c r="E19" s="23">
        <f>D19/7*12</f>
        <v>56.571428571428569</v>
      </c>
      <c r="F19" s="23">
        <f>SUM(G19:R19)</f>
        <v>24</v>
      </c>
      <c r="G19" s="24">
        <v>2</v>
      </c>
      <c r="H19" s="24">
        <v>2</v>
      </c>
      <c r="I19" s="24">
        <v>2</v>
      </c>
      <c r="J19" s="24">
        <v>2</v>
      </c>
      <c r="K19" s="24">
        <v>2</v>
      </c>
      <c r="L19" s="24">
        <v>2</v>
      </c>
      <c r="M19" s="24">
        <v>2</v>
      </c>
      <c r="N19" s="24">
        <v>2</v>
      </c>
      <c r="O19" s="24">
        <v>2</v>
      </c>
      <c r="P19" s="24">
        <v>2</v>
      </c>
      <c r="Q19" s="24">
        <v>2</v>
      </c>
      <c r="R19" s="24">
        <v>2</v>
      </c>
      <c r="S19" s="42"/>
      <c r="T19" s="42"/>
      <c r="U19" s="42"/>
      <c r="V19" s="42"/>
      <c r="W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</row>
    <row r="20" spans="1:45" s="21" customFormat="1" ht="13.5" thickBot="1" x14ac:dyDescent="0.25">
      <c r="A20" s="22" t="s">
        <v>30</v>
      </c>
      <c r="B20" s="22" t="s">
        <v>31</v>
      </c>
      <c r="C20" s="22" t="s">
        <v>17</v>
      </c>
      <c r="D20" s="23">
        <v>91.64</v>
      </c>
      <c r="E20" s="23">
        <f t="shared" ref="E20" si="7">D20/7*12</f>
        <v>157.09714285714284</v>
      </c>
      <c r="F20" s="23">
        <f>SUM(G20:R20)</f>
        <v>144</v>
      </c>
      <c r="G20" s="24">
        <v>12</v>
      </c>
      <c r="H20" s="24">
        <v>12</v>
      </c>
      <c r="I20" s="24">
        <v>12</v>
      </c>
      <c r="J20" s="24">
        <v>12</v>
      </c>
      <c r="K20" s="24">
        <v>12</v>
      </c>
      <c r="L20" s="24">
        <v>12</v>
      </c>
      <c r="M20" s="24">
        <v>12</v>
      </c>
      <c r="N20" s="24">
        <v>12</v>
      </c>
      <c r="O20" s="24">
        <v>12</v>
      </c>
      <c r="P20" s="24">
        <v>12</v>
      </c>
      <c r="Q20" s="24">
        <v>12</v>
      </c>
      <c r="R20" s="24">
        <v>12</v>
      </c>
      <c r="S20" s="43"/>
      <c r="T20" s="43"/>
      <c r="U20" s="43"/>
      <c r="V20" s="43"/>
      <c r="W20" s="25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</row>
    <row r="21" spans="1:45" s="26" customFormat="1" x14ac:dyDescent="0.2">
      <c r="A21" s="30"/>
      <c r="B21" s="30" t="s">
        <v>32</v>
      </c>
      <c r="C21" s="30" t="s">
        <v>17</v>
      </c>
      <c r="D21" s="31">
        <f>SUM(D19:D20)</f>
        <v>124.64</v>
      </c>
      <c r="E21" s="31">
        <f t="shared" ref="E21:R21" si="8">SUM(E19:E20)</f>
        <v>213.6685714285714</v>
      </c>
      <c r="F21" s="31">
        <f t="shared" si="8"/>
        <v>168</v>
      </c>
      <c r="G21" s="31">
        <f t="shared" si="8"/>
        <v>14</v>
      </c>
      <c r="H21" s="31">
        <f t="shared" si="8"/>
        <v>14</v>
      </c>
      <c r="I21" s="31">
        <f t="shared" si="8"/>
        <v>14</v>
      </c>
      <c r="J21" s="31">
        <f t="shared" si="8"/>
        <v>14</v>
      </c>
      <c r="K21" s="31">
        <f t="shared" si="8"/>
        <v>14</v>
      </c>
      <c r="L21" s="31">
        <f t="shared" si="8"/>
        <v>14</v>
      </c>
      <c r="M21" s="31">
        <f t="shared" si="8"/>
        <v>14</v>
      </c>
      <c r="N21" s="31">
        <f t="shared" si="8"/>
        <v>14</v>
      </c>
      <c r="O21" s="31">
        <f t="shared" si="8"/>
        <v>14</v>
      </c>
      <c r="P21" s="31">
        <f t="shared" si="8"/>
        <v>14</v>
      </c>
      <c r="Q21" s="31">
        <f t="shared" si="8"/>
        <v>14</v>
      </c>
      <c r="R21" s="31">
        <f t="shared" si="8"/>
        <v>14</v>
      </c>
      <c r="S21" s="42"/>
      <c r="T21" s="42"/>
      <c r="U21" s="42"/>
      <c r="V21" s="42"/>
      <c r="W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</row>
    <row r="22" spans="1:45" s="21" customFormat="1" x14ac:dyDescent="0.2">
      <c r="A22" s="32"/>
      <c r="B22" s="32"/>
      <c r="C22" s="32"/>
      <c r="D22" s="33"/>
      <c r="E22" s="2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44"/>
      <c r="T22" s="44"/>
      <c r="U22" s="44"/>
      <c r="V22" s="44"/>
      <c r="W22" s="26"/>
    </row>
    <row r="23" spans="1:45" x14ac:dyDescent="0.2">
      <c r="A23" s="17"/>
      <c r="B23" s="17" t="s">
        <v>33</v>
      </c>
      <c r="C23" s="17"/>
      <c r="D23" s="35"/>
      <c r="E23" s="69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</row>
    <row r="24" spans="1:45" s="21" customFormat="1" x14ac:dyDescent="0.2">
      <c r="A24" s="22" t="s">
        <v>34</v>
      </c>
      <c r="B24" s="22" t="s">
        <v>35</v>
      </c>
      <c r="C24" s="22" t="s">
        <v>17</v>
      </c>
      <c r="D24" s="23">
        <v>5974.24</v>
      </c>
      <c r="E24" s="23">
        <f>D24/7*12</f>
        <v>10241.554285714286</v>
      </c>
      <c r="F24" s="23">
        <f>SUM(G24:R24)</f>
        <v>10344.48</v>
      </c>
      <c r="G24" s="8">
        <v>862.04</v>
      </c>
      <c r="H24" s="8">
        <v>862.04</v>
      </c>
      <c r="I24" s="8">
        <v>862.04</v>
      </c>
      <c r="J24" s="8">
        <v>862.04</v>
      </c>
      <c r="K24" s="8">
        <v>862.04</v>
      </c>
      <c r="L24" s="8">
        <v>862.04</v>
      </c>
      <c r="M24" s="8">
        <v>862.04</v>
      </c>
      <c r="N24" s="8">
        <v>862.04</v>
      </c>
      <c r="O24" s="8">
        <v>862.04</v>
      </c>
      <c r="P24" s="8">
        <v>862.04</v>
      </c>
      <c r="Q24" s="8">
        <v>862.04</v>
      </c>
      <c r="R24" s="8">
        <v>862.04</v>
      </c>
      <c r="S24" s="42"/>
      <c r="T24" s="42"/>
      <c r="U24" s="42"/>
      <c r="V24" s="42"/>
    </row>
    <row r="25" spans="1:45" s="21" customFormat="1" x14ac:dyDescent="0.2">
      <c r="A25" s="22" t="s">
        <v>36</v>
      </c>
      <c r="B25" s="22" t="s">
        <v>37</v>
      </c>
      <c r="C25" s="22" t="s">
        <v>17</v>
      </c>
      <c r="D25" s="23">
        <v>4443.2700000000004</v>
      </c>
      <c r="E25" s="23">
        <f t="shared" ref="E25:E33" si="9">D25/7*12</f>
        <v>7617.0342857142869</v>
      </c>
      <c r="F25" s="23">
        <f t="shared" ref="F25:F33" si="10">SUM(G25:R25)</f>
        <v>7500</v>
      </c>
      <c r="G25" s="8">
        <v>625</v>
      </c>
      <c r="H25" s="8">
        <v>625</v>
      </c>
      <c r="I25" s="8">
        <v>625</v>
      </c>
      <c r="J25" s="8">
        <v>625</v>
      </c>
      <c r="K25" s="8">
        <v>625</v>
      </c>
      <c r="L25" s="8">
        <v>625</v>
      </c>
      <c r="M25" s="8">
        <v>625</v>
      </c>
      <c r="N25" s="8">
        <v>625</v>
      </c>
      <c r="O25" s="8">
        <v>625</v>
      </c>
      <c r="P25" s="8">
        <v>625</v>
      </c>
      <c r="Q25" s="8">
        <v>625</v>
      </c>
      <c r="R25" s="8">
        <v>625</v>
      </c>
      <c r="S25" s="42"/>
      <c r="T25" s="42"/>
      <c r="U25" s="42"/>
      <c r="V25" s="42"/>
    </row>
    <row r="26" spans="1:45" s="21" customFormat="1" x14ac:dyDescent="0.2">
      <c r="A26" s="22" t="s">
        <v>183</v>
      </c>
      <c r="B26" s="22" t="s">
        <v>182</v>
      </c>
      <c r="C26" s="22"/>
      <c r="D26" s="23">
        <v>0</v>
      </c>
      <c r="E26" s="23">
        <f t="shared" si="9"/>
        <v>0</v>
      </c>
      <c r="F26" s="23">
        <f t="shared" si="10"/>
        <v>450</v>
      </c>
      <c r="G26" s="8">
        <v>37.5</v>
      </c>
      <c r="H26" s="8">
        <v>37.5</v>
      </c>
      <c r="I26" s="8">
        <v>37.5</v>
      </c>
      <c r="J26" s="8">
        <v>37.5</v>
      </c>
      <c r="K26" s="8">
        <v>37.5</v>
      </c>
      <c r="L26" s="8">
        <v>37.5</v>
      </c>
      <c r="M26" s="8">
        <v>37.5</v>
      </c>
      <c r="N26" s="8">
        <v>37.5</v>
      </c>
      <c r="O26" s="8">
        <v>37.5</v>
      </c>
      <c r="P26" s="8">
        <v>37.5</v>
      </c>
      <c r="Q26" s="8">
        <v>37.5</v>
      </c>
      <c r="R26" s="8">
        <v>37.5</v>
      </c>
      <c r="S26" s="42" t="s">
        <v>203</v>
      </c>
      <c r="T26" s="42"/>
      <c r="U26" s="42"/>
      <c r="V26" s="42"/>
    </row>
    <row r="27" spans="1:45" s="21" customFormat="1" x14ac:dyDescent="0.2">
      <c r="A27" s="22" t="s">
        <v>38</v>
      </c>
      <c r="B27" s="22" t="s">
        <v>39</v>
      </c>
      <c r="C27" s="22" t="s">
        <v>17</v>
      </c>
      <c r="D27" s="23">
        <v>3335</v>
      </c>
      <c r="E27" s="23">
        <f t="shared" si="9"/>
        <v>5717.1428571428569</v>
      </c>
      <c r="F27" s="23">
        <f t="shared" si="10"/>
        <v>5888.5199999999995</v>
      </c>
      <c r="G27" s="8">
        <v>490.71</v>
      </c>
      <c r="H27" s="8">
        <v>490.71</v>
      </c>
      <c r="I27" s="8">
        <v>490.71</v>
      </c>
      <c r="J27" s="8">
        <v>490.71</v>
      </c>
      <c r="K27" s="8">
        <v>490.71</v>
      </c>
      <c r="L27" s="8">
        <v>490.71</v>
      </c>
      <c r="M27" s="8">
        <v>490.71</v>
      </c>
      <c r="N27" s="8">
        <v>490.71</v>
      </c>
      <c r="O27" s="8">
        <v>490.71</v>
      </c>
      <c r="P27" s="8">
        <v>490.71</v>
      </c>
      <c r="Q27" s="8">
        <v>490.71</v>
      </c>
      <c r="R27" s="8">
        <v>490.71</v>
      </c>
      <c r="S27" s="42"/>
      <c r="T27" s="42"/>
      <c r="U27" s="42"/>
      <c r="V27" s="42"/>
    </row>
    <row r="28" spans="1:45" s="21" customFormat="1" x14ac:dyDescent="0.2">
      <c r="A28" s="22" t="s">
        <v>40</v>
      </c>
      <c r="B28" s="22" t="s">
        <v>41</v>
      </c>
      <c r="C28" s="22" t="s">
        <v>17</v>
      </c>
      <c r="D28" s="23">
        <v>1610</v>
      </c>
      <c r="E28" s="23">
        <f t="shared" si="9"/>
        <v>2760</v>
      </c>
      <c r="F28" s="23">
        <f t="shared" si="10"/>
        <v>2808</v>
      </c>
      <c r="G28" s="8">
        <v>234</v>
      </c>
      <c r="H28" s="8">
        <v>234</v>
      </c>
      <c r="I28" s="8">
        <v>234</v>
      </c>
      <c r="J28" s="8">
        <v>234</v>
      </c>
      <c r="K28" s="8">
        <v>234</v>
      </c>
      <c r="L28" s="8">
        <v>234</v>
      </c>
      <c r="M28" s="8">
        <v>234</v>
      </c>
      <c r="N28" s="8">
        <v>234</v>
      </c>
      <c r="O28" s="8">
        <v>234</v>
      </c>
      <c r="P28" s="8">
        <v>234</v>
      </c>
      <c r="Q28" s="8">
        <v>234</v>
      </c>
      <c r="R28" s="8">
        <v>234</v>
      </c>
      <c r="S28" s="39" t="s">
        <v>207</v>
      </c>
      <c r="T28" s="42"/>
      <c r="U28" s="42"/>
      <c r="V28" s="42"/>
    </row>
    <row r="29" spans="1:45" s="21" customFormat="1" x14ac:dyDescent="0.2">
      <c r="A29" s="22" t="s">
        <v>165</v>
      </c>
      <c r="B29" s="22" t="s">
        <v>160</v>
      </c>
      <c r="C29" s="22"/>
      <c r="D29" s="23">
        <v>15568.59</v>
      </c>
      <c r="E29" s="23">
        <f t="shared" si="9"/>
        <v>26689.01142857143</v>
      </c>
      <c r="F29" s="23">
        <f t="shared" si="10"/>
        <v>27600</v>
      </c>
      <c r="G29" s="8">
        <v>2300</v>
      </c>
      <c r="H29" s="8">
        <v>2300</v>
      </c>
      <c r="I29" s="8">
        <v>2300</v>
      </c>
      <c r="J29" s="8">
        <v>2300</v>
      </c>
      <c r="K29" s="8">
        <v>2300</v>
      </c>
      <c r="L29" s="8">
        <v>2300</v>
      </c>
      <c r="M29" s="8">
        <v>2300</v>
      </c>
      <c r="N29" s="8">
        <v>2300</v>
      </c>
      <c r="O29" s="8">
        <v>2300</v>
      </c>
      <c r="P29" s="8">
        <v>2300</v>
      </c>
      <c r="Q29" s="8">
        <v>2300</v>
      </c>
      <c r="R29" s="8">
        <v>2300</v>
      </c>
      <c r="S29" s="61" t="s">
        <v>219</v>
      </c>
      <c r="T29" s="42"/>
      <c r="U29" s="42"/>
      <c r="V29" s="42"/>
    </row>
    <row r="30" spans="1:45" s="25" customFormat="1" x14ac:dyDescent="0.2">
      <c r="A30" s="22" t="s">
        <v>164</v>
      </c>
      <c r="B30" s="22" t="s">
        <v>161</v>
      </c>
      <c r="C30" s="22"/>
      <c r="D30" s="23">
        <v>0</v>
      </c>
      <c r="E30" s="23">
        <f t="shared" si="9"/>
        <v>0</v>
      </c>
      <c r="F30" s="23">
        <f t="shared" si="10"/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42"/>
      <c r="T30" s="42"/>
      <c r="U30" s="42"/>
      <c r="V30" s="42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</row>
    <row r="31" spans="1:45" s="25" customFormat="1" x14ac:dyDescent="0.2">
      <c r="A31" s="22" t="s">
        <v>42</v>
      </c>
      <c r="B31" s="22" t="s">
        <v>43</v>
      </c>
      <c r="C31" s="22" t="s">
        <v>17</v>
      </c>
      <c r="D31" s="24">
        <v>750</v>
      </c>
      <c r="E31" s="23">
        <f t="shared" si="9"/>
        <v>1285.7142857142858</v>
      </c>
      <c r="F31" s="23">
        <f t="shared" si="10"/>
        <v>600</v>
      </c>
      <c r="G31" s="8">
        <v>50</v>
      </c>
      <c r="H31" s="8">
        <v>50</v>
      </c>
      <c r="I31" s="8">
        <v>50</v>
      </c>
      <c r="J31" s="8">
        <v>50</v>
      </c>
      <c r="K31" s="8">
        <v>50</v>
      </c>
      <c r="L31" s="8">
        <v>50</v>
      </c>
      <c r="M31" s="8">
        <v>50</v>
      </c>
      <c r="N31" s="8">
        <v>50</v>
      </c>
      <c r="O31" s="8">
        <v>50</v>
      </c>
      <c r="P31" s="8">
        <v>50</v>
      </c>
      <c r="Q31" s="8">
        <v>50</v>
      </c>
      <c r="R31" s="8">
        <v>50</v>
      </c>
      <c r="S31" s="39"/>
      <c r="T31" s="42"/>
      <c r="U31" s="42"/>
      <c r="V31" s="42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</row>
    <row r="32" spans="1:45" s="21" customFormat="1" ht="15" x14ac:dyDescent="0.25">
      <c r="A32" s="22" t="s">
        <v>162</v>
      </c>
      <c r="B32" s="22" t="s">
        <v>145</v>
      </c>
      <c r="C32" s="22"/>
      <c r="D32" s="24">
        <v>600</v>
      </c>
      <c r="E32" s="23">
        <f t="shared" si="9"/>
        <v>1028.5714285714284</v>
      </c>
      <c r="F32" s="23">
        <f t="shared" si="10"/>
        <v>1050</v>
      </c>
      <c r="G32" s="8">
        <v>87.5</v>
      </c>
      <c r="H32" s="8">
        <v>87.5</v>
      </c>
      <c r="I32" s="8">
        <v>87.5</v>
      </c>
      <c r="J32" s="8">
        <v>87.5</v>
      </c>
      <c r="K32" s="8">
        <v>87.5</v>
      </c>
      <c r="L32" s="8">
        <v>87.5</v>
      </c>
      <c r="M32" s="8">
        <v>87.5</v>
      </c>
      <c r="N32" s="8">
        <v>87.5</v>
      </c>
      <c r="O32" s="8">
        <v>87.5</v>
      </c>
      <c r="P32" s="8">
        <v>87.5</v>
      </c>
      <c r="Q32" s="8">
        <v>87.5</v>
      </c>
      <c r="R32" s="8">
        <v>87.5</v>
      </c>
      <c r="S32" s="68" t="s">
        <v>209</v>
      </c>
      <c r="T32" s="42"/>
      <c r="U32" s="42"/>
      <c r="V32" s="42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Q32" s="25"/>
      <c r="AR32" s="25"/>
      <c r="AS32" s="25"/>
    </row>
    <row r="33" spans="1:45" s="21" customFormat="1" ht="13.5" thickBot="1" x14ac:dyDescent="0.25">
      <c r="A33" s="22" t="s">
        <v>163</v>
      </c>
      <c r="B33" s="22" t="s">
        <v>187</v>
      </c>
      <c r="C33" s="22" t="s">
        <v>17</v>
      </c>
      <c r="D33" s="24">
        <v>425.94</v>
      </c>
      <c r="E33" s="23">
        <f t="shared" si="9"/>
        <v>730.18285714285707</v>
      </c>
      <c r="F33" s="23">
        <f t="shared" si="10"/>
        <v>120</v>
      </c>
      <c r="G33" s="8">
        <v>10</v>
      </c>
      <c r="H33" s="8">
        <v>10</v>
      </c>
      <c r="I33" s="8">
        <v>10</v>
      </c>
      <c r="J33" s="8">
        <v>10</v>
      </c>
      <c r="K33" s="8">
        <v>10</v>
      </c>
      <c r="L33" s="8">
        <v>10</v>
      </c>
      <c r="M33" s="8">
        <v>10</v>
      </c>
      <c r="N33" s="8">
        <v>10</v>
      </c>
      <c r="O33" s="8">
        <v>10</v>
      </c>
      <c r="P33" s="8">
        <v>10</v>
      </c>
      <c r="Q33" s="8">
        <v>10</v>
      </c>
      <c r="R33" s="8">
        <v>10</v>
      </c>
      <c r="S33" s="42"/>
      <c r="T33" s="42"/>
      <c r="U33" s="42"/>
      <c r="V33" s="42"/>
      <c r="X33" s="25"/>
      <c r="Y33" s="25"/>
      <c r="Z33" s="25"/>
      <c r="AA33" s="25"/>
      <c r="AB33" s="25"/>
      <c r="AP33" s="25"/>
    </row>
    <row r="34" spans="1:45" s="26" customFormat="1" x14ac:dyDescent="0.2">
      <c r="A34" s="30"/>
      <c r="B34" s="30" t="s">
        <v>44</v>
      </c>
      <c r="C34" s="30" t="s">
        <v>17</v>
      </c>
      <c r="D34" s="31">
        <f t="shared" ref="D34:R34" si="11">SUM(D24:D33)</f>
        <v>32707.039999999997</v>
      </c>
      <c r="E34" s="31">
        <f t="shared" si="11"/>
        <v>56069.211428571427</v>
      </c>
      <c r="F34" s="31">
        <f t="shared" si="11"/>
        <v>56361</v>
      </c>
      <c r="G34" s="31">
        <f t="shared" si="11"/>
        <v>4696.75</v>
      </c>
      <c r="H34" s="31">
        <f t="shared" si="11"/>
        <v>4696.75</v>
      </c>
      <c r="I34" s="31">
        <f t="shared" si="11"/>
        <v>4696.75</v>
      </c>
      <c r="J34" s="31">
        <f t="shared" si="11"/>
        <v>4696.75</v>
      </c>
      <c r="K34" s="31">
        <f t="shared" si="11"/>
        <v>4696.75</v>
      </c>
      <c r="L34" s="31">
        <f t="shared" si="11"/>
        <v>4696.75</v>
      </c>
      <c r="M34" s="31">
        <f t="shared" si="11"/>
        <v>4696.75</v>
      </c>
      <c r="N34" s="31">
        <f t="shared" si="11"/>
        <v>4696.75</v>
      </c>
      <c r="O34" s="31">
        <f t="shared" si="11"/>
        <v>4696.75</v>
      </c>
      <c r="P34" s="31">
        <f t="shared" si="11"/>
        <v>4696.75</v>
      </c>
      <c r="Q34" s="31">
        <f t="shared" si="11"/>
        <v>4696.75</v>
      </c>
      <c r="R34" s="31">
        <f t="shared" si="11"/>
        <v>4696.75</v>
      </c>
      <c r="S34" s="42"/>
      <c r="T34" s="42"/>
      <c r="U34" s="42"/>
      <c r="V34" s="42"/>
      <c r="W34" s="21"/>
      <c r="X34" s="25"/>
      <c r="Y34" s="25"/>
      <c r="Z34" s="25"/>
      <c r="AA34" s="25"/>
      <c r="AB34" s="25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5"/>
      <c r="AQ34" s="21"/>
      <c r="AR34" s="21"/>
      <c r="AS34" s="21"/>
    </row>
    <row r="35" spans="1:45" s="21" customFormat="1" ht="13.5" thickBot="1" x14ac:dyDescent="0.25">
      <c r="A35" s="32"/>
      <c r="B35" s="32"/>
      <c r="C35" s="32"/>
      <c r="D35" s="33"/>
      <c r="E35" s="2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43"/>
      <c r="T35" s="43"/>
      <c r="U35" s="43"/>
      <c r="V35" s="43"/>
      <c r="W35" s="25"/>
      <c r="AR35" s="26"/>
      <c r="AS35" s="26"/>
    </row>
    <row r="36" spans="1:45" s="21" customFormat="1" x14ac:dyDescent="0.2">
      <c r="A36" s="30"/>
      <c r="B36" s="30" t="s">
        <v>45</v>
      </c>
      <c r="C36" s="30" t="s">
        <v>17</v>
      </c>
      <c r="D36" s="31">
        <f t="shared" ref="D36:R36" si="12">D10+D16+D21+D34</f>
        <v>571804.28</v>
      </c>
      <c r="E36" s="31">
        <f t="shared" si="12"/>
        <v>980235.90857142862</v>
      </c>
      <c r="F36" s="31">
        <f t="shared" si="12"/>
        <v>1007325.725</v>
      </c>
      <c r="G36" s="31">
        <f t="shared" si="12"/>
        <v>82441.625</v>
      </c>
      <c r="H36" s="31">
        <f t="shared" si="12"/>
        <v>82481.600000000006</v>
      </c>
      <c r="I36" s="31">
        <f t="shared" si="12"/>
        <v>82976.899999999994</v>
      </c>
      <c r="J36" s="31">
        <f t="shared" si="12"/>
        <v>83280.75</v>
      </c>
      <c r="K36" s="31">
        <f t="shared" si="12"/>
        <v>83349</v>
      </c>
      <c r="L36" s="31">
        <f t="shared" si="12"/>
        <v>83434.850000000006</v>
      </c>
      <c r="M36" s="31">
        <f t="shared" si="12"/>
        <v>83697.175000000003</v>
      </c>
      <c r="N36" s="31">
        <f t="shared" si="12"/>
        <v>84148.6</v>
      </c>
      <c r="O36" s="31">
        <f t="shared" si="12"/>
        <v>84980.274999999994</v>
      </c>
      <c r="P36" s="31">
        <f t="shared" si="12"/>
        <v>85288.375</v>
      </c>
      <c r="Q36" s="31">
        <f t="shared" si="12"/>
        <v>85608.175000000003</v>
      </c>
      <c r="R36" s="31">
        <f t="shared" si="12"/>
        <v>85638.399999999994</v>
      </c>
      <c r="S36" s="42"/>
      <c r="T36" s="42"/>
      <c r="U36" s="42"/>
      <c r="V36" s="42"/>
    </row>
    <row r="37" spans="1:45" s="21" customFormat="1" x14ac:dyDescent="0.2">
      <c r="A37" s="32"/>
      <c r="B37" s="32"/>
      <c r="C37" s="32"/>
      <c r="D37" s="33"/>
      <c r="E37" s="2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42"/>
      <c r="T37" s="42"/>
      <c r="U37" s="42"/>
      <c r="V37" s="42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Q37" s="26"/>
    </row>
    <row r="38" spans="1:45" s="21" customFormat="1" x14ac:dyDescent="0.2">
      <c r="A38" s="34" t="s">
        <v>149</v>
      </c>
      <c r="C38" s="30" t="s">
        <v>17</v>
      </c>
      <c r="D38" s="24"/>
      <c r="E38" s="23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42"/>
      <c r="T38" s="42"/>
      <c r="U38" s="42"/>
      <c r="V38" s="42"/>
      <c r="X38" s="26"/>
      <c r="Y38" s="26"/>
      <c r="Z38" s="26"/>
      <c r="AA38" s="26"/>
      <c r="AB38" s="26"/>
      <c r="AP38" s="26"/>
    </row>
    <row r="39" spans="1:45" s="21" customFormat="1" x14ac:dyDescent="0.2">
      <c r="A39" s="32"/>
      <c r="B39" s="32"/>
      <c r="C39" s="32"/>
      <c r="D39" s="33"/>
      <c r="E39" s="2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44"/>
      <c r="T39" s="44"/>
      <c r="U39" s="44"/>
      <c r="V39" s="44"/>
      <c r="W39" s="26"/>
    </row>
    <row r="40" spans="1:45" s="21" customFormat="1" x14ac:dyDescent="0.2">
      <c r="A40" s="29"/>
      <c r="B40" s="29" t="s">
        <v>46</v>
      </c>
      <c r="C40" s="29"/>
      <c r="D40" s="35"/>
      <c r="E40" s="69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42"/>
      <c r="T40" s="42"/>
      <c r="U40" s="42"/>
      <c r="V40" s="42"/>
    </row>
    <row r="41" spans="1:45" s="21" customFormat="1" x14ac:dyDescent="0.2">
      <c r="A41" s="22" t="s">
        <v>47</v>
      </c>
      <c r="B41" s="22" t="s">
        <v>48</v>
      </c>
      <c r="C41" s="22" t="s">
        <v>17</v>
      </c>
      <c r="D41" s="24">
        <v>72.599999999999994</v>
      </c>
      <c r="E41" s="23">
        <f>D41/7*12</f>
        <v>124.45714285714284</v>
      </c>
      <c r="F41" s="23">
        <f>SUM(G41:R41)</f>
        <v>3200.05</v>
      </c>
      <c r="G41" s="24">
        <v>174.55</v>
      </c>
      <c r="H41" s="24">
        <v>174.55</v>
      </c>
      <c r="I41" s="24">
        <v>174.55</v>
      </c>
      <c r="J41" s="24">
        <v>174.55</v>
      </c>
      <c r="K41" s="24">
        <v>174.55</v>
      </c>
      <c r="L41" s="24">
        <v>174.55</v>
      </c>
      <c r="M41" s="24">
        <v>174.55</v>
      </c>
      <c r="N41" s="24">
        <v>174.55</v>
      </c>
      <c r="O41" s="24">
        <v>1280</v>
      </c>
      <c r="P41" s="24">
        <v>174.55</v>
      </c>
      <c r="Q41" s="24">
        <v>174.55</v>
      </c>
      <c r="R41" s="24">
        <v>174.55</v>
      </c>
      <c r="S41" s="61" t="s">
        <v>208</v>
      </c>
      <c r="T41" s="42"/>
      <c r="U41" s="42"/>
      <c r="V41" s="42"/>
    </row>
    <row r="42" spans="1:45" s="21" customFormat="1" x14ac:dyDescent="0.2">
      <c r="A42" s="22" t="s">
        <v>152</v>
      </c>
      <c r="B42" s="22" t="s">
        <v>148</v>
      </c>
      <c r="C42" s="22"/>
      <c r="D42" s="24">
        <v>1675.4</v>
      </c>
      <c r="E42" s="23">
        <f t="shared" ref="E42:E59" si="13">D42/7*12</f>
        <v>2872.1142857142859</v>
      </c>
      <c r="F42" s="23">
        <f t="shared" ref="F42:F60" si="14">SUM(G42:R42)</f>
        <v>2774</v>
      </c>
      <c r="G42" s="24">
        <v>416</v>
      </c>
      <c r="H42" s="24">
        <v>300</v>
      </c>
      <c r="I42" s="24">
        <v>200</v>
      </c>
      <c r="J42" s="24">
        <v>258</v>
      </c>
      <c r="K42" s="24">
        <v>200</v>
      </c>
      <c r="L42" s="24">
        <v>200</v>
      </c>
      <c r="M42" s="24">
        <v>200</v>
      </c>
      <c r="N42" s="24">
        <v>200</v>
      </c>
      <c r="O42" s="24">
        <v>200</v>
      </c>
      <c r="P42" s="24">
        <v>200</v>
      </c>
      <c r="Q42" s="24">
        <v>200</v>
      </c>
      <c r="R42" s="24">
        <v>200</v>
      </c>
      <c r="S42" s="45" t="s">
        <v>184</v>
      </c>
      <c r="T42" s="42"/>
      <c r="U42" s="42"/>
      <c r="V42" s="42"/>
    </row>
    <row r="43" spans="1:45" s="21" customFormat="1" x14ac:dyDescent="0.2">
      <c r="A43" s="22" t="s">
        <v>49</v>
      </c>
      <c r="B43" s="22" t="s">
        <v>50</v>
      </c>
      <c r="C43" s="22" t="s">
        <v>17</v>
      </c>
      <c r="D43" s="24">
        <v>0</v>
      </c>
      <c r="E43" s="23">
        <f t="shared" si="13"/>
        <v>0</v>
      </c>
      <c r="F43" s="23">
        <f t="shared" si="14"/>
        <v>300</v>
      </c>
      <c r="G43" s="24">
        <v>25</v>
      </c>
      <c r="H43" s="24">
        <v>25</v>
      </c>
      <c r="I43" s="24">
        <v>25</v>
      </c>
      <c r="J43" s="24">
        <v>25</v>
      </c>
      <c r="K43" s="24">
        <v>25</v>
      </c>
      <c r="L43" s="24">
        <v>25</v>
      </c>
      <c r="M43" s="24">
        <v>25</v>
      </c>
      <c r="N43" s="24">
        <v>25</v>
      </c>
      <c r="O43" s="24">
        <v>25</v>
      </c>
      <c r="P43" s="24">
        <v>25</v>
      </c>
      <c r="Q43" s="24">
        <v>25</v>
      </c>
      <c r="R43" s="24">
        <v>25</v>
      </c>
      <c r="S43" s="42"/>
      <c r="T43" s="42"/>
      <c r="U43" s="42"/>
      <c r="V43" s="42"/>
    </row>
    <row r="44" spans="1:45" s="21" customFormat="1" x14ac:dyDescent="0.2">
      <c r="A44" s="22" t="s">
        <v>198</v>
      </c>
      <c r="B44" s="22" t="s">
        <v>192</v>
      </c>
      <c r="C44" s="22"/>
      <c r="D44" s="24">
        <v>183.73</v>
      </c>
      <c r="E44" s="23">
        <f t="shared" si="13"/>
        <v>314.96571428571428</v>
      </c>
      <c r="F44" s="23">
        <f t="shared" si="14"/>
        <v>800.03999999999985</v>
      </c>
      <c r="G44" s="24">
        <v>66.67</v>
      </c>
      <c r="H44" s="24">
        <v>66.67</v>
      </c>
      <c r="I44" s="24">
        <v>66.67</v>
      </c>
      <c r="J44" s="24">
        <v>66.67</v>
      </c>
      <c r="K44" s="24">
        <v>66.67</v>
      </c>
      <c r="L44" s="24">
        <v>66.67</v>
      </c>
      <c r="M44" s="24">
        <v>66.67</v>
      </c>
      <c r="N44" s="24">
        <v>66.67</v>
      </c>
      <c r="O44" s="24">
        <v>66.67</v>
      </c>
      <c r="P44" s="24">
        <v>66.67</v>
      </c>
      <c r="Q44" s="24">
        <v>66.67</v>
      </c>
      <c r="R44" s="24">
        <v>66.67</v>
      </c>
      <c r="S44" s="42"/>
      <c r="T44" s="42"/>
      <c r="U44" s="42"/>
      <c r="V44" s="42"/>
    </row>
    <row r="45" spans="1:45" s="21" customFormat="1" x14ac:dyDescent="0.2">
      <c r="A45" s="22" t="s">
        <v>51</v>
      </c>
      <c r="B45" s="22" t="s">
        <v>52</v>
      </c>
      <c r="C45" s="22" t="s">
        <v>17</v>
      </c>
      <c r="D45" s="24">
        <v>0</v>
      </c>
      <c r="E45" s="23">
        <f t="shared" si="13"/>
        <v>0</v>
      </c>
      <c r="F45" s="23">
        <f t="shared" si="14"/>
        <v>200.04000000000008</v>
      </c>
      <c r="G45" s="24">
        <v>16.670000000000002</v>
      </c>
      <c r="H45" s="24">
        <v>16.670000000000002</v>
      </c>
      <c r="I45" s="24">
        <v>16.670000000000002</v>
      </c>
      <c r="J45" s="24">
        <v>16.670000000000002</v>
      </c>
      <c r="K45" s="24">
        <v>16.670000000000002</v>
      </c>
      <c r="L45" s="24">
        <v>16.670000000000002</v>
      </c>
      <c r="M45" s="24">
        <v>16.670000000000002</v>
      </c>
      <c r="N45" s="24">
        <v>16.670000000000002</v>
      </c>
      <c r="O45" s="24">
        <v>16.670000000000002</v>
      </c>
      <c r="P45" s="24">
        <v>16.670000000000002</v>
      </c>
      <c r="Q45" s="24">
        <v>16.670000000000002</v>
      </c>
      <c r="R45" s="24">
        <v>16.670000000000002</v>
      </c>
      <c r="S45" s="42" t="s">
        <v>201</v>
      </c>
      <c r="T45" s="42"/>
      <c r="U45" s="42"/>
      <c r="V45" s="42"/>
    </row>
    <row r="46" spans="1:45" s="21" customFormat="1" x14ac:dyDescent="0.2">
      <c r="A46" s="22" t="s">
        <v>53</v>
      </c>
      <c r="B46" s="22" t="s">
        <v>54</v>
      </c>
      <c r="C46" s="22" t="s">
        <v>17</v>
      </c>
      <c r="D46" s="24">
        <v>23714.33</v>
      </c>
      <c r="E46" s="23">
        <f t="shared" si="13"/>
        <v>40653.137142857144</v>
      </c>
      <c r="F46" s="23">
        <f>SUM(G46:R46)</f>
        <v>42758.28</v>
      </c>
      <c r="G46" s="24">
        <v>3563.19</v>
      </c>
      <c r="H46" s="24">
        <v>3563.19</v>
      </c>
      <c r="I46" s="24">
        <v>3563.19</v>
      </c>
      <c r="J46" s="24">
        <v>3563.19</v>
      </c>
      <c r="K46" s="24">
        <v>3563.19</v>
      </c>
      <c r="L46" s="24">
        <v>3563.19</v>
      </c>
      <c r="M46" s="24">
        <v>3563.19</v>
      </c>
      <c r="N46" s="24">
        <v>3563.19</v>
      </c>
      <c r="O46" s="24">
        <v>3563.19</v>
      </c>
      <c r="P46" s="24">
        <v>3563.19</v>
      </c>
      <c r="Q46" s="24">
        <v>3563.19</v>
      </c>
      <c r="R46" s="24">
        <v>3563.19</v>
      </c>
      <c r="S46" s="50">
        <v>0.05</v>
      </c>
      <c r="T46" s="42"/>
      <c r="U46" s="42"/>
      <c r="V46" s="42"/>
    </row>
    <row r="47" spans="1:45" s="21" customFormat="1" x14ac:dyDescent="0.2">
      <c r="A47" s="22" t="s">
        <v>154</v>
      </c>
      <c r="B47" s="22" t="s">
        <v>155</v>
      </c>
      <c r="C47" s="22"/>
      <c r="D47" s="24">
        <v>12913.09</v>
      </c>
      <c r="E47" s="23">
        <f t="shared" si="13"/>
        <v>22136.725714285712</v>
      </c>
      <c r="F47" s="23">
        <f t="shared" si="14"/>
        <v>22364.12</v>
      </c>
      <c r="G47" s="24">
        <v>1774.93</v>
      </c>
      <c r="H47" s="24">
        <v>1774.93</v>
      </c>
      <c r="I47" s="24">
        <v>1774.93</v>
      </c>
      <c r="J47" s="24">
        <v>1774.93</v>
      </c>
      <c r="K47" s="24">
        <v>1774.93</v>
      </c>
      <c r="L47" s="24">
        <v>1774.93</v>
      </c>
      <c r="M47" s="24">
        <v>1774.93</v>
      </c>
      <c r="N47" s="24">
        <v>1774.93</v>
      </c>
      <c r="O47" s="24">
        <v>1774.93</v>
      </c>
      <c r="P47" s="24">
        <v>1774.93</v>
      </c>
      <c r="Q47" s="24">
        <v>1774.93</v>
      </c>
      <c r="R47" s="24">
        <f>1774.93+1064.96</f>
        <v>2839.8900000000003</v>
      </c>
      <c r="S47" s="61" t="s">
        <v>216</v>
      </c>
      <c r="T47" s="42"/>
      <c r="U47" s="42"/>
      <c r="V47" s="42"/>
    </row>
    <row r="48" spans="1:45" s="21" customFormat="1" x14ac:dyDescent="0.2">
      <c r="A48" s="22" t="s">
        <v>55</v>
      </c>
      <c r="B48" s="22" t="s">
        <v>56</v>
      </c>
      <c r="C48" s="22" t="s">
        <v>17</v>
      </c>
      <c r="D48" s="24">
        <v>3992.92</v>
      </c>
      <c r="E48" s="23">
        <f t="shared" si="13"/>
        <v>6845.005714285714</v>
      </c>
      <c r="F48" s="23">
        <f t="shared" si="14"/>
        <v>7160.52</v>
      </c>
      <c r="G48" s="24">
        <v>596.71</v>
      </c>
      <c r="H48" s="24">
        <v>596.71</v>
      </c>
      <c r="I48" s="24">
        <v>596.71</v>
      </c>
      <c r="J48" s="24">
        <v>596.71</v>
      </c>
      <c r="K48" s="24">
        <v>596.71</v>
      </c>
      <c r="L48" s="24">
        <v>596.71</v>
      </c>
      <c r="M48" s="24">
        <v>596.71</v>
      </c>
      <c r="N48" s="24">
        <v>596.71</v>
      </c>
      <c r="O48" s="24">
        <v>596.71</v>
      </c>
      <c r="P48" s="24">
        <v>596.71</v>
      </c>
      <c r="Q48" s="24">
        <v>596.71</v>
      </c>
      <c r="R48" s="24">
        <v>596.71</v>
      </c>
      <c r="S48" s="61" t="s">
        <v>189</v>
      </c>
      <c r="T48" s="42"/>
      <c r="U48" s="42"/>
      <c r="V48" s="42"/>
    </row>
    <row r="49" spans="1:45" s="21" customFormat="1" x14ac:dyDescent="0.2">
      <c r="A49" s="22" t="s">
        <v>57</v>
      </c>
      <c r="B49" s="22" t="s">
        <v>58</v>
      </c>
      <c r="C49" s="22" t="s">
        <v>17</v>
      </c>
      <c r="D49" s="24">
        <v>28329.37</v>
      </c>
      <c r="E49" s="23">
        <f t="shared" si="13"/>
        <v>48564.634285714288</v>
      </c>
      <c r="F49" s="23">
        <f t="shared" si="14"/>
        <v>49696.284249999997</v>
      </c>
      <c r="G49" s="24">
        <f>(G36-G45-G51-G58)*0.05</f>
        <v>4066.2477500000005</v>
      </c>
      <c r="H49" s="24">
        <f t="shared" ref="H49:R49" si="15">(H36-H45-H51-H58)*0.05</f>
        <v>4068.2465000000007</v>
      </c>
      <c r="I49" s="24">
        <f t="shared" si="15"/>
        <v>4093.0115000000001</v>
      </c>
      <c r="J49" s="24">
        <f t="shared" si="15"/>
        <v>4108.2040000000006</v>
      </c>
      <c r="K49" s="24">
        <f t="shared" si="15"/>
        <v>4111.6165000000001</v>
      </c>
      <c r="L49" s="24">
        <f t="shared" si="15"/>
        <v>4115.9090000000006</v>
      </c>
      <c r="M49" s="24">
        <f t="shared" si="15"/>
        <v>4129.0252500000006</v>
      </c>
      <c r="N49" s="24">
        <f t="shared" si="15"/>
        <v>4151.5965000000006</v>
      </c>
      <c r="O49" s="24">
        <f t="shared" si="15"/>
        <v>4193.1802500000003</v>
      </c>
      <c r="P49" s="24">
        <f t="shared" si="15"/>
        <v>4208.5852500000001</v>
      </c>
      <c r="Q49" s="24">
        <f t="shared" si="15"/>
        <v>4224.5752500000008</v>
      </c>
      <c r="R49" s="24">
        <f t="shared" si="15"/>
        <v>4226.0865000000003</v>
      </c>
      <c r="S49" s="50"/>
      <c r="T49" s="42"/>
      <c r="U49" s="42"/>
      <c r="V49" s="42"/>
    </row>
    <row r="50" spans="1:45" s="21" customFormat="1" x14ac:dyDescent="0.2">
      <c r="A50" s="22" t="s">
        <v>59</v>
      </c>
      <c r="B50" s="22" t="s">
        <v>60</v>
      </c>
      <c r="C50" s="22" t="s">
        <v>17</v>
      </c>
      <c r="D50" s="24">
        <v>19678.61</v>
      </c>
      <c r="E50" s="23">
        <f t="shared" si="13"/>
        <v>33734.76</v>
      </c>
      <c r="F50" s="23">
        <f t="shared" si="14"/>
        <v>37376.640000000007</v>
      </c>
      <c r="G50" s="24">
        <v>2966.4</v>
      </c>
      <c r="H50" s="24">
        <v>2966.4</v>
      </c>
      <c r="I50" s="24">
        <v>2966.4</v>
      </c>
      <c r="J50" s="24">
        <v>2966.4</v>
      </c>
      <c r="K50" s="24">
        <v>2966.4</v>
      </c>
      <c r="L50" s="24">
        <v>2966.4</v>
      </c>
      <c r="M50" s="24">
        <v>2966.4</v>
      </c>
      <c r="N50" s="24">
        <v>2966.4</v>
      </c>
      <c r="O50" s="24">
        <v>2966.4</v>
      </c>
      <c r="P50" s="24">
        <v>2966.4</v>
      </c>
      <c r="Q50" s="24">
        <v>2966.4</v>
      </c>
      <c r="R50" s="24">
        <f>2966.4+1779.84</f>
        <v>4746.24</v>
      </c>
      <c r="S50" s="61" t="s">
        <v>217</v>
      </c>
      <c r="T50" s="42"/>
      <c r="U50" s="42"/>
      <c r="V50" s="42"/>
    </row>
    <row r="51" spans="1:45" s="21" customFormat="1" x14ac:dyDescent="0.2">
      <c r="A51" s="22" t="s">
        <v>167</v>
      </c>
      <c r="B51" s="22" t="s">
        <v>166</v>
      </c>
      <c r="C51" s="22" t="s">
        <v>17</v>
      </c>
      <c r="D51" s="24">
        <v>0</v>
      </c>
      <c r="E51" s="23">
        <f t="shared" si="13"/>
        <v>0</v>
      </c>
      <c r="F51" s="23">
        <f t="shared" si="14"/>
        <v>7200</v>
      </c>
      <c r="G51" s="24">
        <v>600</v>
      </c>
      <c r="H51" s="24">
        <v>600</v>
      </c>
      <c r="I51" s="24">
        <v>600</v>
      </c>
      <c r="J51" s="24">
        <v>600</v>
      </c>
      <c r="K51" s="24">
        <v>600</v>
      </c>
      <c r="L51" s="24">
        <v>600</v>
      </c>
      <c r="M51" s="24">
        <v>600</v>
      </c>
      <c r="N51" s="24">
        <v>600</v>
      </c>
      <c r="O51" s="24">
        <v>600</v>
      </c>
      <c r="P51" s="24">
        <v>600</v>
      </c>
      <c r="Q51" s="24">
        <v>600</v>
      </c>
      <c r="R51" s="24">
        <v>600</v>
      </c>
      <c r="S51" s="42"/>
      <c r="T51" s="42"/>
      <c r="U51" s="42"/>
      <c r="V51" s="42"/>
    </row>
    <row r="52" spans="1:45" s="21" customFormat="1" x14ac:dyDescent="0.2">
      <c r="A52" s="22" t="s">
        <v>168</v>
      </c>
      <c r="B52" s="22" t="s">
        <v>169</v>
      </c>
      <c r="C52" s="22"/>
      <c r="D52" s="24">
        <v>628</v>
      </c>
      <c r="E52" s="23">
        <f t="shared" si="13"/>
        <v>1076.5714285714284</v>
      </c>
      <c r="F52" s="23">
        <f t="shared" si="14"/>
        <v>1973.0400000000002</v>
      </c>
      <c r="G52" s="24">
        <v>164.42</v>
      </c>
      <c r="H52" s="24">
        <v>164.42</v>
      </c>
      <c r="I52" s="24">
        <v>164.42</v>
      </c>
      <c r="J52" s="24">
        <v>164.42</v>
      </c>
      <c r="K52" s="24">
        <v>164.42</v>
      </c>
      <c r="L52" s="24">
        <v>164.42</v>
      </c>
      <c r="M52" s="24">
        <v>164.42</v>
      </c>
      <c r="N52" s="24">
        <v>164.42</v>
      </c>
      <c r="O52" s="24">
        <v>164.42</v>
      </c>
      <c r="P52" s="24">
        <v>164.42</v>
      </c>
      <c r="Q52" s="24">
        <v>164.42</v>
      </c>
      <c r="R52" s="24">
        <v>164.42</v>
      </c>
      <c r="S52" s="61" t="s">
        <v>210</v>
      </c>
      <c r="T52" s="42"/>
      <c r="U52" s="42"/>
      <c r="V52" s="42"/>
    </row>
    <row r="53" spans="1:45" s="65" customFormat="1" x14ac:dyDescent="0.2">
      <c r="A53" s="22" t="s">
        <v>61</v>
      </c>
      <c r="B53" s="22" t="s">
        <v>62</v>
      </c>
      <c r="C53" s="22" t="s">
        <v>17</v>
      </c>
      <c r="D53" s="24">
        <v>3721.88</v>
      </c>
      <c r="E53" s="23">
        <v>3722</v>
      </c>
      <c r="F53" s="23">
        <f t="shared" si="14"/>
        <v>4000</v>
      </c>
      <c r="G53" s="24">
        <v>0</v>
      </c>
      <c r="H53" s="24">
        <v>0</v>
      </c>
      <c r="I53" s="24">
        <v>4000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  <c r="O53" s="24">
        <v>0</v>
      </c>
      <c r="P53" s="24">
        <v>0</v>
      </c>
      <c r="Q53" s="24">
        <v>0</v>
      </c>
      <c r="R53" s="24">
        <v>0</v>
      </c>
      <c r="S53" s="48"/>
      <c r="T53" s="45"/>
      <c r="U53" s="45"/>
      <c r="V53" s="45"/>
    </row>
    <row r="54" spans="1:45" s="21" customFormat="1" x14ac:dyDescent="0.2">
      <c r="A54" s="22" t="s">
        <v>63</v>
      </c>
      <c r="B54" s="22" t="s">
        <v>64</v>
      </c>
      <c r="C54" s="22" t="s">
        <v>17</v>
      </c>
      <c r="D54" s="24">
        <v>5854.2</v>
      </c>
      <c r="E54" s="23">
        <f t="shared" si="13"/>
        <v>10035.771428571428</v>
      </c>
      <c r="F54" s="23">
        <f t="shared" si="14"/>
        <v>10400.858050799998</v>
      </c>
      <c r="G54" s="24">
        <f>480+(G47+G50+G71+G91)*0.03</f>
        <v>862.56737984999995</v>
      </c>
      <c r="H54" s="24">
        <f t="shared" ref="H54:R54" si="16">480+(H47+H50+H71+H91)*0.03</f>
        <v>862.56737984999995</v>
      </c>
      <c r="I54" s="24">
        <f t="shared" si="16"/>
        <v>862.56737984999995</v>
      </c>
      <c r="J54" s="24">
        <f t="shared" si="16"/>
        <v>862.56737984999995</v>
      </c>
      <c r="K54" s="24">
        <f t="shared" si="16"/>
        <v>841.69700805000002</v>
      </c>
      <c r="L54" s="24">
        <f t="shared" si="16"/>
        <v>841.69700805000002</v>
      </c>
      <c r="M54" s="24">
        <f t="shared" si="16"/>
        <v>841.69700805000002</v>
      </c>
      <c r="N54" s="24">
        <f t="shared" si="16"/>
        <v>841.69700805000002</v>
      </c>
      <c r="O54" s="24">
        <f t="shared" si="16"/>
        <v>841.69700805000002</v>
      </c>
      <c r="P54" s="24">
        <f t="shared" si="16"/>
        <v>841.69700805000002</v>
      </c>
      <c r="Q54" s="24">
        <f t="shared" si="16"/>
        <v>841.69700805000002</v>
      </c>
      <c r="R54" s="24">
        <f t="shared" si="16"/>
        <v>1058.70947505</v>
      </c>
      <c r="S54" s="45"/>
      <c r="T54" s="42"/>
      <c r="U54" s="42"/>
      <c r="V54" s="42"/>
    </row>
    <row r="55" spans="1:45" s="25" customFormat="1" x14ac:dyDescent="0.2">
      <c r="A55" s="22" t="s">
        <v>65</v>
      </c>
      <c r="B55" s="22" t="s">
        <v>66</v>
      </c>
      <c r="C55" s="22" t="s">
        <v>17</v>
      </c>
      <c r="D55" s="24">
        <v>116.06</v>
      </c>
      <c r="E55" s="23">
        <f t="shared" si="13"/>
        <v>198.96000000000004</v>
      </c>
      <c r="F55" s="23">
        <f t="shared" si="14"/>
        <v>179.39999999999998</v>
      </c>
      <c r="G55" s="24">
        <v>14.95</v>
      </c>
      <c r="H55" s="24">
        <v>14.95</v>
      </c>
      <c r="I55" s="24">
        <v>14.95</v>
      </c>
      <c r="J55" s="24">
        <v>14.95</v>
      </c>
      <c r="K55" s="24">
        <v>14.95</v>
      </c>
      <c r="L55" s="24">
        <v>14.95</v>
      </c>
      <c r="M55" s="24">
        <v>14.95</v>
      </c>
      <c r="N55" s="24">
        <v>14.95</v>
      </c>
      <c r="O55" s="24">
        <v>14.95</v>
      </c>
      <c r="P55" s="24">
        <v>14.95</v>
      </c>
      <c r="Q55" s="24">
        <v>14.95</v>
      </c>
      <c r="R55" s="24">
        <v>14.95</v>
      </c>
      <c r="S55" s="42"/>
      <c r="T55" s="42"/>
      <c r="U55" s="42"/>
      <c r="V55" s="42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</row>
    <row r="56" spans="1:45" s="21" customFormat="1" x14ac:dyDescent="0.2">
      <c r="A56" s="22" t="s">
        <v>67</v>
      </c>
      <c r="B56" s="22" t="s">
        <v>68</v>
      </c>
      <c r="C56" s="22" t="s">
        <v>17</v>
      </c>
      <c r="D56" s="24">
        <v>2402.9699999999998</v>
      </c>
      <c r="E56" s="23">
        <f t="shared" si="13"/>
        <v>4119.3771428571426</v>
      </c>
      <c r="F56" s="23">
        <f t="shared" si="14"/>
        <v>3991.1999999999994</v>
      </c>
      <c r="G56" s="24">
        <v>332.6</v>
      </c>
      <c r="H56" s="24">
        <v>332.6</v>
      </c>
      <c r="I56" s="24">
        <v>332.6</v>
      </c>
      <c r="J56" s="24">
        <v>332.6</v>
      </c>
      <c r="K56" s="24">
        <v>332.6</v>
      </c>
      <c r="L56" s="24">
        <v>332.6</v>
      </c>
      <c r="M56" s="24">
        <v>332.6</v>
      </c>
      <c r="N56" s="24">
        <v>332.6</v>
      </c>
      <c r="O56" s="24">
        <v>332.6</v>
      </c>
      <c r="P56" s="24">
        <v>332.6</v>
      </c>
      <c r="Q56" s="24">
        <v>332.6</v>
      </c>
      <c r="R56" s="24">
        <v>332.6</v>
      </c>
      <c r="S56" s="42"/>
      <c r="T56" s="42"/>
      <c r="U56" s="42"/>
      <c r="V56" s="42"/>
      <c r="AR56" s="25"/>
      <c r="AS56" s="25"/>
    </row>
    <row r="57" spans="1:45" s="26" customFormat="1" x14ac:dyDescent="0.2">
      <c r="A57" s="22" t="s">
        <v>69</v>
      </c>
      <c r="B57" s="22" t="s">
        <v>70</v>
      </c>
      <c r="C57" s="22" t="s">
        <v>17</v>
      </c>
      <c r="D57" s="24">
        <v>1116.02</v>
      </c>
      <c r="E57" s="23">
        <f t="shared" si="13"/>
        <v>1913.1771428571428</v>
      </c>
      <c r="F57" s="23">
        <f t="shared" si="14"/>
        <v>2057.52</v>
      </c>
      <c r="G57" s="24">
        <v>171.46</v>
      </c>
      <c r="H57" s="24">
        <v>171.46</v>
      </c>
      <c r="I57" s="24">
        <v>171.46</v>
      </c>
      <c r="J57" s="24">
        <v>171.46</v>
      </c>
      <c r="K57" s="24">
        <v>171.46</v>
      </c>
      <c r="L57" s="24">
        <v>171.46</v>
      </c>
      <c r="M57" s="24">
        <v>171.46</v>
      </c>
      <c r="N57" s="24">
        <v>171.46</v>
      </c>
      <c r="O57" s="24">
        <v>171.46</v>
      </c>
      <c r="P57" s="24">
        <v>171.46</v>
      </c>
      <c r="Q57" s="24">
        <v>171.46</v>
      </c>
      <c r="R57" s="24">
        <v>171.46</v>
      </c>
      <c r="S57" s="42"/>
      <c r="T57" s="42"/>
      <c r="U57" s="42"/>
      <c r="V57" s="42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</row>
    <row r="58" spans="1:45" s="21" customFormat="1" x14ac:dyDescent="0.2">
      <c r="A58" s="22" t="s">
        <v>71</v>
      </c>
      <c r="B58" s="22" t="s">
        <v>72</v>
      </c>
      <c r="C58" s="22" t="s">
        <v>17</v>
      </c>
      <c r="D58" s="24">
        <v>3703.55</v>
      </c>
      <c r="E58" s="23">
        <f t="shared" si="13"/>
        <v>6348.9428571428571</v>
      </c>
      <c r="F58" s="23">
        <f t="shared" si="14"/>
        <v>6000</v>
      </c>
      <c r="G58" s="24">
        <v>500</v>
      </c>
      <c r="H58" s="24">
        <v>500</v>
      </c>
      <c r="I58" s="24">
        <v>500</v>
      </c>
      <c r="J58" s="24">
        <v>500</v>
      </c>
      <c r="K58" s="24">
        <v>500</v>
      </c>
      <c r="L58" s="24">
        <v>500</v>
      </c>
      <c r="M58" s="24">
        <v>500</v>
      </c>
      <c r="N58" s="24">
        <v>500</v>
      </c>
      <c r="O58" s="24">
        <v>500</v>
      </c>
      <c r="P58" s="24">
        <v>500</v>
      </c>
      <c r="Q58" s="24">
        <v>500</v>
      </c>
      <c r="R58" s="24">
        <v>500</v>
      </c>
      <c r="S58" s="45"/>
      <c r="T58" s="42"/>
      <c r="U58" s="42"/>
      <c r="V58" s="42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Q58" s="25"/>
      <c r="AR58" s="26"/>
      <c r="AS58" s="26"/>
    </row>
    <row r="59" spans="1:45" s="21" customFormat="1" x14ac:dyDescent="0.2">
      <c r="A59" s="22" t="s">
        <v>73</v>
      </c>
      <c r="B59" s="22" t="s">
        <v>74</v>
      </c>
      <c r="C59" s="22" t="s">
        <v>17</v>
      </c>
      <c r="D59" s="24">
        <v>454</v>
      </c>
      <c r="E59" s="23">
        <f t="shared" si="13"/>
        <v>778.28571428571433</v>
      </c>
      <c r="F59" s="23">
        <f t="shared" si="14"/>
        <v>520</v>
      </c>
      <c r="G59" s="24">
        <v>0</v>
      </c>
      <c r="H59" s="24">
        <v>0</v>
      </c>
      <c r="I59" s="24">
        <v>0</v>
      </c>
      <c r="J59" s="24">
        <f>192+64</f>
        <v>256</v>
      </c>
      <c r="K59" s="24">
        <v>0</v>
      </c>
      <c r="L59" s="24">
        <v>198</v>
      </c>
      <c r="M59" s="24">
        <v>0</v>
      </c>
      <c r="N59" s="24">
        <v>0</v>
      </c>
      <c r="O59" s="24">
        <v>0</v>
      </c>
      <c r="P59" s="24">
        <v>0</v>
      </c>
      <c r="Q59" s="24">
        <v>66</v>
      </c>
      <c r="R59" s="24">
        <v>0</v>
      </c>
      <c r="S59" s="42"/>
      <c r="T59" s="42"/>
      <c r="U59" s="42"/>
      <c r="V59" s="42"/>
      <c r="X59" s="25"/>
      <c r="Y59" s="25"/>
      <c r="Z59" s="25"/>
      <c r="AA59" s="25"/>
      <c r="AB59" s="25"/>
      <c r="AP59" s="25"/>
    </row>
    <row r="60" spans="1:45" s="21" customFormat="1" ht="13.5" thickBot="1" x14ac:dyDescent="0.25">
      <c r="A60" s="22" t="s">
        <v>75</v>
      </c>
      <c r="B60" s="22" t="s">
        <v>76</v>
      </c>
      <c r="C60" s="22" t="s">
        <v>17</v>
      </c>
      <c r="D60" s="24">
        <v>922</v>
      </c>
      <c r="E60" s="23">
        <f t="shared" ref="E60" si="17">D60/7*12</f>
        <v>1580.5714285714287</v>
      </c>
      <c r="F60" s="23">
        <f t="shared" si="14"/>
        <v>1560</v>
      </c>
      <c r="G60" s="24">
        <v>130</v>
      </c>
      <c r="H60" s="24">
        <v>130</v>
      </c>
      <c r="I60" s="24">
        <v>130</v>
      </c>
      <c r="J60" s="24">
        <v>130</v>
      </c>
      <c r="K60" s="24">
        <v>130</v>
      </c>
      <c r="L60" s="24">
        <v>130</v>
      </c>
      <c r="M60" s="24">
        <v>130</v>
      </c>
      <c r="N60" s="24">
        <v>130</v>
      </c>
      <c r="O60" s="24">
        <v>130</v>
      </c>
      <c r="P60" s="24">
        <v>130</v>
      </c>
      <c r="Q60" s="24">
        <v>130</v>
      </c>
      <c r="R60" s="24">
        <v>130</v>
      </c>
      <c r="S60" s="45"/>
      <c r="T60" s="43"/>
      <c r="U60" s="43"/>
      <c r="V60" s="43"/>
      <c r="W60" s="25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Q60" s="26"/>
    </row>
    <row r="61" spans="1:45" s="21" customFormat="1" x14ac:dyDescent="0.2">
      <c r="A61" s="30"/>
      <c r="B61" s="30" t="s">
        <v>77</v>
      </c>
      <c r="C61" s="30" t="s">
        <v>17</v>
      </c>
      <c r="D61" s="31">
        <f>SUM(D41:D60)</f>
        <v>109478.73000000001</v>
      </c>
      <c r="E61" s="31">
        <f t="shared" ref="E61" si="18">SUM(E41:E60)</f>
        <v>185019.45714285711</v>
      </c>
      <c r="F61" s="31">
        <f>SUM(F41:F60)</f>
        <v>204511.99230079999</v>
      </c>
      <c r="G61" s="31">
        <f>SUM(G41:G60)</f>
        <v>16442.365129849997</v>
      </c>
      <c r="H61" s="31">
        <f t="shared" ref="H61:R61" si="19">SUM(H41:H60)</f>
        <v>16328.36387985</v>
      </c>
      <c r="I61" s="31">
        <f t="shared" si="19"/>
        <v>20253.128879849999</v>
      </c>
      <c r="J61" s="31">
        <f t="shared" si="19"/>
        <v>16582.32137985</v>
      </c>
      <c r="K61" s="31">
        <f t="shared" si="19"/>
        <v>16250.863508050001</v>
      </c>
      <c r="L61" s="31">
        <f t="shared" si="19"/>
        <v>16453.156008049998</v>
      </c>
      <c r="M61" s="31">
        <f t="shared" si="19"/>
        <v>16268.272258049999</v>
      </c>
      <c r="N61" s="31">
        <f t="shared" si="19"/>
        <v>16290.84350805</v>
      </c>
      <c r="O61" s="31">
        <f t="shared" si="19"/>
        <v>17437.877258050001</v>
      </c>
      <c r="P61" s="31">
        <f t="shared" si="19"/>
        <v>16347.832258050001</v>
      </c>
      <c r="Q61" s="31">
        <f t="shared" si="19"/>
        <v>16429.822258050001</v>
      </c>
      <c r="R61" s="31">
        <f t="shared" si="19"/>
        <v>19427.14597505</v>
      </c>
      <c r="S61" s="42"/>
      <c r="T61" s="42"/>
      <c r="U61" s="42"/>
      <c r="V61" s="42"/>
      <c r="X61" s="26"/>
      <c r="Y61" s="26"/>
      <c r="Z61" s="26"/>
      <c r="AA61" s="26"/>
      <c r="AB61" s="26"/>
      <c r="AP61" s="26"/>
    </row>
    <row r="62" spans="1:45" s="13" customFormat="1" x14ac:dyDescent="0.2">
      <c r="A62" s="5"/>
      <c r="B62" s="5"/>
      <c r="C62" s="5"/>
      <c r="D62" s="33"/>
      <c r="E62" s="23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41"/>
      <c r="T62" s="41"/>
      <c r="U62" s="41"/>
      <c r="V62" s="41"/>
      <c r="W62" s="19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</row>
    <row r="63" spans="1:45" x14ac:dyDescent="0.2">
      <c r="A63" s="17"/>
      <c r="B63" s="17" t="s">
        <v>78</v>
      </c>
      <c r="C63" s="17"/>
      <c r="D63" s="35"/>
      <c r="E63" s="69"/>
      <c r="F63" s="20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46"/>
      <c r="AR63" s="13"/>
      <c r="AS63" s="13"/>
    </row>
    <row r="64" spans="1:45" s="26" customFormat="1" x14ac:dyDescent="0.2">
      <c r="A64" s="22" t="s">
        <v>79</v>
      </c>
      <c r="B64" s="22" t="s">
        <v>80</v>
      </c>
      <c r="C64" s="22" t="s">
        <v>17</v>
      </c>
      <c r="D64" s="24">
        <v>3612.77</v>
      </c>
      <c r="E64" s="23">
        <f>D64/7*12</f>
        <v>6193.32</v>
      </c>
      <c r="F64" s="23">
        <f>SUM(G64:R64)</f>
        <v>7050.41</v>
      </c>
      <c r="G64" s="8">
        <v>267.32</v>
      </c>
      <c r="H64" s="8">
        <v>676.06</v>
      </c>
      <c r="I64" s="8">
        <v>611.70000000000005</v>
      </c>
      <c r="J64" s="8">
        <v>512.41</v>
      </c>
      <c r="K64" s="8">
        <v>473.66</v>
      </c>
      <c r="L64" s="8">
        <v>500.39</v>
      </c>
      <c r="M64" s="8">
        <v>607.35</v>
      </c>
      <c r="N64" s="8">
        <v>532.08000000000004</v>
      </c>
      <c r="O64" s="8">
        <v>667.24</v>
      </c>
      <c r="P64" s="8">
        <v>307.35000000000002</v>
      </c>
      <c r="Q64" s="8">
        <v>558.16999999999996</v>
      </c>
      <c r="R64" s="8">
        <v>1336.68</v>
      </c>
      <c r="S64" s="50">
        <v>0.01</v>
      </c>
      <c r="T64" s="42"/>
      <c r="U64" s="42"/>
      <c r="V64" s="42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</row>
    <row r="65" spans="1:45" s="21" customFormat="1" x14ac:dyDescent="0.2">
      <c r="A65" s="22" t="s">
        <v>81</v>
      </c>
      <c r="B65" s="22" t="s">
        <v>82</v>
      </c>
      <c r="C65" s="22" t="s">
        <v>17</v>
      </c>
      <c r="D65" s="24">
        <v>12106.46</v>
      </c>
      <c r="E65" s="23">
        <f t="shared" ref="E65:E67" si="20">D65/7*12</f>
        <v>20753.931428571428</v>
      </c>
      <c r="F65" s="23">
        <f t="shared" ref="F65:F66" si="21">SUM(G65:R65)</f>
        <v>22350</v>
      </c>
      <c r="G65" s="8">
        <v>0</v>
      </c>
      <c r="H65" s="8">
        <v>3650</v>
      </c>
      <c r="I65" s="8">
        <v>0</v>
      </c>
      <c r="J65" s="8">
        <v>3116</v>
      </c>
      <c r="K65" s="8">
        <v>0</v>
      </c>
      <c r="L65" s="8">
        <v>3500</v>
      </c>
      <c r="M65" s="8">
        <v>0</v>
      </c>
      <c r="N65" s="8">
        <v>5897</v>
      </c>
      <c r="O65" s="8">
        <v>0</v>
      </c>
      <c r="P65" s="8">
        <v>3087</v>
      </c>
      <c r="Q65" s="8">
        <v>0</v>
      </c>
      <c r="R65" s="8">
        <v>3100</v>
      </c>
      <c r="S65" s="50">
        <v>0.03</v>
      </c>
      <c r="T65" s="42"/>
      <c r="U65" s="42"/>
      <c r="V65" s="42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Q65" s="25"/>
      <c r="AR65" s="26"/>
      <c r="AS65" s="26"/>
    </row>
    <row r="66" spans="1:45" s="21" customFormat="1" x14ac:dyDescent="0.2">
      <c r="A66" s="22" t="s">
        <v>83</v>
      </c>
      <c r="B66" s="22" t="s">
        <v>84</v>
      </c>
      <c r="C66" s="22" t="s">
        <v>17</v>
      </c>
      <c r="D66" s="24">
        <v>8742.08</v>
      </c>
      <c r="E66" s="23">
        <f t="shared" si="20"/>
        <v>14986.422857142858</v>
      </c>
      <c r="F66" s="23">
        <f t="shared" si="21"/>
        <v>16257.249999999998</v>
      </c>
      <c r="G66" s="8">
        <v>817.63</v>
      </c>
      <c r="H66" s="8">
        <v>1942.11</v>
      </c>
      <c r="I66" s="8">
        <v>1790.92</v>
      </c>
      <c r="J66" s="8">
        <v>1527.82</v>
      </c>
      <c r="K66" s="8">
        <v>1167.81</v>
      </c>
      <c r="L66" s="8">
        <v>1015.07</v>
      </c>
      <c r="M66" s="8">
        <v>830.41</v>
      </c>
      <c r="N66" s="8">
        <v>755.37</v>
      </c>
      <c r="O66" s="8">
        <v>877.44</v>
      </c>
      <c r="P66" s="8">
        <v>879.04</v>
      </c>
      <c r="Q66" s="8">
        <v>1164.73</v>
      </c>
      <c r="R66" s="8">
        <v>3488.9</v>
      </c>
      <c r="S66" s="50">
        <v>0.04</v>
      </c>
      <c r="T66" s="42"/>
      <c r="U66" s="42"/>
      <c r="V66" s="42"/>
      <c r="X66" s="25"/>
      <c r="Y66" s="25"/>
      <c r="Z66" s="25"/>
      <c r="AA66" s="25"/>
      <c r="AB66" s="25"/>
      <c r="AP66" s="25"/>
    </row>
    <row r="67" spans="1:45" s="21" customFormat="1" ht="13.5" thickBot="1" x14ac:dyDescent="0.25">
      <c r="A67" s="22" t="s">
        <v>85</v>
      </c>
      <c r="B67" s="22" t="s">
        <v>86</v>
      </c>
      <c r="C67" s="22" t="s">
        <v>17</v>
      </c>
      <c r="D67" s="24">
        <v>13897.83</v>
      </c>
      <c r="E67" s="23">
        <f t="shared" si="20"/>
        <v>23824.851428571426</v>
      </c>
      <c r="F67" s="23">
        <f>SUM(G67:R67)</f>
        <v>28388</v>
      </c>
      <c r="G67" s="8">
        <v>0</v>
      </c>
      <c r="H67" s="8">
        <v>4880</v>
      </c>
      <c r="I67" s="8">
        <v>0</v>
      </c>
      <c r="J67" s="8">
        <v>4120</v>
      </c>
      <c r="K67" s="8">
        <v>0</v>
      </c>
      <c r="L67" s="8">
        <v>4600</v>
      </c>
      <c r="M67" s="8">
        <v>0</v>
      </c>
      <c r="N67" s="8">
        <v>5603</v>
      </c>
      <c r="O67" s="8">
        <v>0</v>
      </c>
      <c r="P67" s="8">
        <v>4185</v>
      </c>
      <c r="Q67" s="8">
        <v>0</v>
      </c>
      <c r="R67" s="8">
        <v>5000</v>
      </c>
      <c r="S67" s="50">
        <v>0.03</v>
      </c>
      <c r="T67" s="43"/>
      <c r="U67" s="43"/>
      <c r="V67" s="43"/>
      <c r="W67" s="25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Q67" s="26"/>
    </row>
    <row r="68" spans="1:45" x14ac:dyDescent="0.2">
      <c r="A68" s="3"/>
      <c r="B68" s="3" t="s">
        <v>87</v>
      </c>
      <c r="C68" s="3" t="s">
        <v>17</v>
      </c>
      <c r="D68" s="31">
        <f>SUM(D64:D67)</f>
        <v>38359.14</v>
      </c>
      <c r="E68" s="31">
        <f t="shared" ref="E68" si="22">SUM(E64:E67)</f>
        <v>65758.525714285701</v>
      </c>
      <c r="F68" s="31">
        <f>SUM(F64:F67)</f>
        <v>74045.66</v>
      </c>
      <c r="G68" s="31">
        <f t="shared" ref="G68:R68" si="23">SUM(G64:G67)</f>
        <v>1084.95</v>
      </c>
      <c r="H68" s="31">
        <f t="shared" si="23"/>
        <v>11148.169999999998</v>
      </c>
      <c r="I68" s="31">
        <f t="shared" si="23"/>
        <v>2402.62</v>
      </c>
      <c r="J68" s="31">
        <f t="shared" si="23"/>
        <v>9276.23</v>
      </c>
      <c r="K68" s="31">
        <f t="shared" si="23"/>
        <v>1641.47</v>
      </c>
      <c r="L68" s="31">
        <f t="shared" si="23"/>
        <v>9615.4599999999991</v>
      </c>
      <c r="M68" s="31">
        <f t="shared" si="23"/>
        <v>1437.76</v>
      </c>
      <c r="N68" s="31">
        <f t="shared" si="23"/>
        <v>12787.45</v>
      </c>
      <c r="O68" s="31">
        <f t="shared" si="23"/>
        <v>1544.68</v>
      </c>
      <c r="P68" s="31">
        <f t="shared" si="23"/>
        <v>8458.39</v>
      </c>
      <c r="Q68" s="31">
        <f t="shared" si="23"/>
        <v>1722.9</v>
      </c>
      <c r="R68" s="31">
        <f t="shared" si="23"/>
        <v>12925.58</v>
      </c>
      <c r="X68" s="19"/>
      <c r="Y68" s="19"/>
      <c r="Z68" s="19"/>
      <c r="AA68" s="19"/>
      <c r="AB68" s="19"/>
      <c r="AP68" s="19"/>
    </row>
    <row r="69" spans="1:45" x14ac:dyDescent="0.2">
      <c r="A69" s="4"/>
      <c r="B69" s="4"/>
      <c r="C69" s="4"/>
      <c r="D69" s="28"/>
      <c r="E69" s="23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41"/>
      <c r="T69" s="41"/>
      <c r="U69" s="41"/>
      <c r="V69" s="41"/>
      <c r="W69" s="19"/>
    </row>
    <row r="70" spans="1:45" x14ac:dyDescent="0.2">
      <c r="A70" s="17"/>
      <c r="B70" s="17" t="s">
        <v>146</v>
      </c>
      <c r="C70" s="17"/>
      <c r="D70" s="36"/>
      <c r="E70" s="69"/>
      <c r="F70" s="18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</row>
    <row r="71" spans="1:45" s="21" customFormat="1" x14ac:dyDescent="0.2">
      <c r="A71" s="22" t="s">
        <v>177</v>
      </c>
      <c r="B71" s="22" t="s">
        <v>170</v>
      </c>
      <c r="C71" s="29"/>
      <c r="D71" s="28">
        <v>41181.54</v>
      </c>
      <c r="E71" s="23">
        <f>D71/7*12</f>
        <v>70596.925714285724</v>
      </c>
      <c r="F71" s="23">
        <f>SUM(G71:R71)</f>
        <v>81639.000000000015</v>
      </c>
      <c r="G71" s="28">
        <f>3317.7+1774.93+1386.67</f>
        <v>6479.3</v>
      </c>
      <c r="H71" s="28">
        <f t="shared" ref="H71:Q71" si="24">3317.7+1774.93+1386.67</f>
        <v>6479.3</v>
      </c>
      <c r="I71" s="28">
        <f t="shared" si="24"/>
        <v>6479.3</v>
      </c>
      <c r="J71" s="28">
        <f t="shared" si="24"/>
        <v>6479.3</v>
      </c>
      <c r="K71" s="28">
        <f t="shared" si="24"/>
        <v>6479.3</v>
      </c>
      <c r="L71" s="28">
        <f t="shared" si="24"/>
        <v>6479.3</v>
      </c>
      <c r="M71" s="28">
        <f t="shared" si="24"/>
        <v>6479.3</v>
      </c>
      <c r="N71" s="28">
        <f t="shared" si="24"/>
        <v>6479.3</v>
      </c>
      <c r="O71" s="28">
        <f t="shared" si="24"/>
        <v>6479.3</v>
      </c>
      <c r="P71" s="28">
        <f t="shared" si="24"/>
        <v>6479.3</v>
      </c>
      <c r="Q71" s="28">
        <f t="shared" si="24"/>
        <v>6479.3</v>
      </c>
      <c r="R71" s="28">
        <f>3317.7+1774.93+1386.67+3887.4</f>
        <v>10366.700000000001</v>
      </c>
      <c r="S71" s="47" t="s">
        <v>218</v>
      </c>
      <c r="T71" s="42"/>
      <c r="U71" s="42"/>
      <c r="V71" s="42"/>
    </row>
    <row r="72" spans="1:45" s="21" customFormat="1" x14ac:dyDescent="0.2">
      <c r="A72" s="22" t="s">
        <v>176</v>
      </c>
      <c r="B72" s="22" t="s">
        <v>171</v>
      </c>
      <c r="C72" s="22" t="s">
        <v>17</v>
      </c>
      <c r="D72" s="28">
        <v>0</v>
      </c>
      <c r="E72" s="23">
        <f t="shared" ref="E72:E86" si="25">D72/7*12</f>
        <v>0</v>
      </c>
      <c r="F72" s="23">
        <f t="shared" ref="F72:F86" si="26">SUM(G72:R72)</f>
        <v>360</v>
      </c>
      <c r="G72" s="11">
        <v>30</v>
      </c>
      <c r="H72" s="11">
        <v>30</v>
      </c>
      <c r="I72" s="11">
        <v>30</v>
      </c>
      <c r="J72" s="11">
        <v>30</v>
      </c>
      <c r="K72" s="11">
        <v>30</v>
      </c>
      <c r="L72" s="11">
        <v>30</v>
      </c>
      <c r="M72" s="11">
        <v>30</v>
      </c>
      <c r="N72" s="11">
        <v>30</v>
      </c>
      <c r="O72" s="11">
        <v>30</v>
      </c>
      <c r="P72" s="11">
        <v>30</v>
      </c>
      <c r="Q72" s="11">
        <v>30</v>
      </c>
      <c r="R72" s="11">
        <v>30</v>
      </c>
      <c r="S72" s="47"/>
      <c r="T72" s="42"/>
      <c r="U72" s="42"/>
      <c r="V72" s="42"/>
    </row>
    <row r="73" spans="1:45" s="21" customFormat="1" x14ac:dyDescent="0.2">
      <c r="A73" s="22" t="s">
        <v>88</v>
      </c>
      <c r="B73" s="22" t="s">
        <v>89</v>
      </c>
      <c r="C73" s="22" t="s">
        <v>17</v>
      </c>
      <c r="D73" s="28">
        <v>12297.18</v>
      </c>
      <c r="E73" s="23">
        <f t="shared" si="25"/>
        <v>21080.880000000001</v>
      </c>
      <c r="F73" s="23">
        <f t="shared" si="26"/>
        <v>21924.240000000002</v>
      </c>
      <c r="G73" s="11">
        <v>1827.02</v>
      </c>
      <c r="H73" s="11">
        <v>1827.02</v>
      </c>
      <c r="I73" s="11">
        <v>1827.02</v>
      </c>
      <c r="J73" s="11">
        <v>1827.02</v>
      </c>
      <c r="K73" s="11">
        <v>1827.02</v>
      </c>
      <c r="L73" s="11">
        <v>1827.02</v>
      </c>
      <c r="M73" s="11">
        <v>1827.02</v>
      </c>
      <c r="N73" s="11">
        <v>1827.02</v>
      </c>
      <c r="O73" s="11">
        <v>1827.02</v>
      </c>
      <c r="P73" s="11">
        <v>1827.02</v>
      </c>
      <c r="Q73" s="11">
        <v>1827.02</v>
      </c>
      <c r="R73" s="11">
        <v>1827.02</v>
      </c>
      <c r="S73" s="42"/>
      <c r="T73" s="42"/>
      <c r="U73" s="42"/>
      <c r="V73" s="42"/>
    </row>
    <row r="74" spans="1:45" s="21" customFormat="1" x14ac:dyDescent="0.2">
      <c r="A74" s="22" t="s">
        <v>90</v>
      </c>
      <c r="B74" s="22" t="s">
        <v>91</v>
      </c>
      <c r="C74" s="22" t="s">
        <v>17</v>
      </c>
      <c r="D74" s="28">
        <v>4516.2</v>
      </c>
      <c r="E74" s="23">
        <f t="shared" si="25"/>
        <v>7742.0571428571429</v>
      </c>
      <c r="F74" s="23">
        <f t="shared" si="26"/>
        <v>999.96000000000015</v>
      </c>
      <c r="G74" s="11">
        <v>83.33</v>
      </c>
      <c r="H74" s="11">
        <v>83.33</v>
      </c>
      <c r="I74" s="11">
        <v>83.33</v>
      </c>
      <c r="J74" s="11">
        <v>83.33</v>
      </c>
      <c r="K74" s="11">
        <v>83.33</v>
      </c>
      <c r="L74" s="11">
        <v>83.33</v>
      </c>
      <c r="M74" s="11">
        <v>83.33</v>
      </c>
      <c r="N74" s="11">
        <v>83.33</v>
      </c>
      <c r="O74" s="11">
        <v>83.33</v>
      </c>
      <c r="P74" s="11">
        <v>83.33</v>
      </c>
      <c r="Q74" s="11">
        <v>83.33</v>
      </c>
      <c r="R74" s="11">
        <v>83.33</v>
      </c>
      <c r="S74" s="42"/>
      <c r="T74" s="42"/>
      <c r="U74" s="42"/>
      <c r="V74" s="42"/>
    </row>
    <row r="75" spans="1:45" s="21" customFormat="1" x14ac:dyDescent="0.2">
      <c r="A75" s="22" t="s">
        <v>92</v>
      </c>
      <c r="B75" s="22" t="s">
        <v>93</v>
      </c>
      <c r="C75" s="22" t="s">
        <v>17</v>
      </c>
      <c r="D75" s="28">
        <v>1176</v>
      </c>
      <c r="E75" s="23">
        <f t="shared" si="25"/>
        <v>2016</v>
      </c>
      <c r="F75" s="23">
        <f t="shared" si="26"/>
        <v>1923</v>
      </c>
      <c r="G75" s="11">
        <f>71.25+89</f>
        <v>160.25</v>
      </c>
      <c r="H75" s="11">
        <f t="shared" ref="H75:R75" si="27">71.25+89</f>
        <v>160.25</v>
      </c>
      <c r="I75" s="11">
        <f t="shared" si="27"/>
        <v>160.25</v>
      </c>
      <c r="J75" s="11">
        <f t="shared" si="27"/>
        <v>160.25</v>
      </c>
      <c r="K75" s="11">
        <f t="shared" si="27"/>
        <v>160.25</v>
      </c>
      <c r="L75" s="11">
        <f t="shared" si="27"/>
        <v>160.25</v>
      </c>
      <c r="M75" s="11">
        <f t="shared" si="27"/>
        <v>160.25</v>
      </c>
      <c r="N75" s="11">
        <f t="shared" si="27"/>
        <v>160.25</v>
      </c>
      <c r="O75" s="11">
        <f t="shared" si="27"/>
        <v>160.25</v>
      </c>
      <c r="P75" s="11">
        <f t="shared" si="27"/>
        <v>160.25</v>
      </c>
      <c r="Q75" s="11">
        <f t="shared" si="27"/>
        <v>160.25</v>
      </c>
      <c r="R75" s="11">
        <f t="shared" si="27"/>
        <v>160.25</v>
      </c>
      <c r="S75" s="61" t="s">
        <v>211</v>
      </c>
      <c r="T75" s="42"/>
      <c r="U75" s="42"/>
      <c r="V75" s="42"/>
    </row>
    <row r="76" spans="1:45" s="21" customFormat="1" x14ac:dyDescent="0.2">
      <c r="A76" s="22" t="s">
        <v>94</v>
      </c>
      <c r="B76" s="22" t="s">
        <v>95</v>
      </c>
      <c r="C76" s="22" t="s">
        <v>17</v>
      </c>
      <c r="D76" s="28">
        <v>4512.93</v>
      </c>
      <c r="E76" s="23">
        <f t="shared" si="25"/>
        <v>7736.4514285714295</v>
      </c>
      <c r="F76" s="23">
        <f t="shared" si="26"/>
        <v>8092</v>
      </c>
      <c r="G76" s="11">
        <v>0</v>
      </c>
      <c r="H76" s="11">
        <v>0</v>
      </c>
      <c r="I76" s="11">
        <v>0</v>
      </c>
      <c r="J76" s="11">
        <f>824+300+200</f>
        <v>1324</v>
      </c>
      <c r="K76" s="11">
        <f>824+300+100</f>
        <v>1224</v>
      </c>
      <c r="L76" s="11">
        <f>824+100</f>
        <v>924</v>
      </c>
      <c r="M76" s="11">
        <f t="shared" ref="M76:P76" si="28">824+100</f>
        <v>924</v>
      </c>
      <c r="N76" s="11">
        <f t="shared" si="28"/>
        <v>924</v>
      </c>
      <c r="O76" s="11">
        <f t="shared" si="28"/>
        <v>924</v>
      </c>
      <c r="P76" s="11">
        <f t="shared" si="28"/>
        <v>924</v>
      </c>
      <c r="Q76" s="11">
        <v>924</v>
      </c>
      <c r="R76" s="11">
        <v>0</v>
      </c>
      <c r="S76" s="61" t="s">
        <v>212</v>
      </c>
      <c r="T76" s="42"/>
      <c r="U76" s="42"/>
      <c r="V76" s="42"/>
    </row>
    <row r="77" spans="1:45" s="21" customFormat="1" x14ac:dyDescent="0.2">
      <c r="A77" s="22" t="s">
        <v>96</v>
      </c>
      <c r="B77" s="22" t="s">
        <v>97</v>
      </c>
      <c r="C77" s="22" t="s">
        <v>17</v>
      </c>
      <c r="D77" s="28">
        <v>14685.17</v>
      </c>
      <c r="E77" s="23">
        <f t="shared" si="25"/>
        <v>25174.577142857139</v>
      </c>
      <c r="F77" s="23">
        <f t="shared" si="26"/>
        <v>21120</v>
      </c>
      <c r="G77" s="11">
        <v>1760</v>
      </c>
      <c r="H77" s="11">
        <v>1760</v>
      </c>
      <c r="I77" s="11">
        <v>1760</v>
      </c>
      <c r="J77" s="11">
        <v>1760</v>
      </c>
      <c r="K77" s="11">
        <v>1760</v>
      </c>
      <c r="L77" s="11">
        <v>1760</v>
      </c>
      <c r="M77" s="11">
        <v>1760</v>
      </c>
      <c r="N77" s="11">
        <v>1760</v>
      </c>
      <c r="O77" s="11">
        <v>1760</v>
      </c>
      <c r="P77" s="11">
        <v>1760</v>
      </c>
      <c r="Q77" s="11">
        <v>1760</v>
      </c>
      <c r="R77" s="11">
        <v>1760</v>
      </c>
      <c r="S77" s="42" t="s">
        <v>186</v>
      </c>
      <c r="T77" s="42"/>
      <c r="U77" s="42"/>
      <c r="V77" s="42"/>
    </row>
    <row r="78" spans="1:45" s="21" customFormat="1" x14ac:dyDescent="0.2">
      <c r="A78" s="22" t="s">
        <v>98</v>
      </c>
      <c r="B78" s="22" t="s">
        <v>99</v>
      </c>
      <c r="C78" s="22" t="s">
        <v>17</v>
      </c>
      <c r="D78" s="28">
        <v>3233</v>
      </c>
      <c r="E78" s="23">
        <f t="shared" si="25"/>
        <v>5542.2857142857138</v>
      </c>
      <c r="F78" s="23">
        <f t="shared" si="26"/>
        <v>5763.6000000000013</v>
      </c>
      <c r="G78" s="11">
        <v>480.3</v>
      </c>
      <c r="H78" s="11">
        <v>480.3</v>
      </c>
      <c r="I78" s="11">
        <v>480.3</v>
      </c>
      <c r="J78" s="11">
        <v>480.3</v>
      </c>
      <c r="K78" s="11">
        <v>480.3</v>
      </c>
      <c r="L78" s="11">
        <v>480.3</v>
      </c>
      <c r="M78" s="11">
        <v>480.3</v>
      </c>
      <c r="N78" s="11">
        <v>480.3</v>
      </c>
      <c r="O78" s="11">
        <v>480.3</v>
      </c>
      <c r="P78" s="11">
        <v>480.3</v>
      </c>
      <c r="Q78" s="11">
        <v>480.3</v>
      </c>
      <c r="R78" s="11">
        <v>480.3</v>
      </c>
      <c r="S78" s="48" t="s">
        <v>194</v>
      </c>
      <c r="T78" s="42"/>
      <c r="U78" s="42"/>
      <c r="V78" s="42"/>
    </row>
    <row r="79" spans="1:45" s="21" customFormat="1" x14ac:dyDescent="0.2">
      <c r="A79" s="22" t="s">
        <v>100</v>
      </c>
      <c r="B79" s="22" t="s">
        <v>101</v>
      </c>
      <c r="C79" s="22" t="s">
        <v>17</v>
      </c>
      <c r="D79" s="28">
        <v>6907.64</v>
      </c>
      <c r="E79" s="23">
        <f t="shared" si="25"/>
        <v>11841.668571428572</v>
      </c>
      <c r="F79" s="23">
        <f t="shared" si="26"/>
        <v>15789</v>
      </c>
      <c r="G79" s="11">
        <f>1265.75+600</f>
        <v>1865.75</v>
      </c>
      <c r="H79" s="11">
        <v>1265.75</v>
      </c>
      <c r="I79" s="11">
        <v>1265.75</v>
      </c>
      <c r="J79" s="11">
        <v>1265.75</v>
      </c>
      <c r="K79" s="11">
        <v>1265.75</v>
      </c>
      <c r="L79" s="11">
        <v>1265.75</v>
      </c>
      <c r="M79" s="11">
        <v>1265.75</v>
      </c>
      <c r="N79" s="11">
        <v>1265.75</v>
      </c>
      <c r="O79" s="11">
        <v>1265.75</v>
      </c>
      <c r="P79" s="11">
        <v>1265.75</v>
      </c>
      <c r="Q79" s="11">
        <v>1265.75</v>
      </c>
      <c r="R79" s="11">
        <v>1265.75</v>
      </c>
      <c r="S79" s="48" t="s">
        <v>213</v>
      </c>
      <c r="T79" s="42"/>
      <c r="U79" s="42"/>
      <c r="V79" s="42"/>
    </row>
    <row r="80" spans="1:45" s="25" customFormat="1" x14ac:dyDescent="0.2">
      <c r="A80" s="22" t="s">
        <v>156</v>
      </c>
      <c r="B80" s="22" t="s">
        <v>172</v>
      </c>
      <c r="C80" s="22" t="s">
        <v>17</v>
      </c>
      <c r="D80" s="28">
        <v>119.36</v>
      </c>
      <c r="E80" s="23">
        <f t="shared" si="25"/>
        <v>204.61714285714282</v>
      </c>
      <c r="F80" s="23">
        <f t="shared" si="26"/>
        <v>1215.9999999999998</v>
      </c>
      <c r="G80" s="11">
        <v>0</v>
      </c>
      <c r="H80" s="11">
        <v>0</v>
      </c>
      <c r="I80" s="11">
        <v>0</v>
      </c>
      <c r="J80" s="11">
        <v>0</v>
      </c>
      <c r="K80" s="11">
        <f>768+89.6</f>
        <v>857.6</v>
      </c>
      <c r="L80" s="11">
        <v>89.6</v>
      </c>
      <c r="M80" s="11">
        <v>89.6</v>
      </c>
      <c r="N80" s="11">
        <v>89.6</v>
      </c>
      <c r="O80" s="11">
        <v>89.6</v>
      </c>
      <c r="P80" s="11">
        <v>0</v>
      </c>
      <c r="Q80" s="11">
        <v>0</v>
      </c>
      <c r="R80" s="11">
        <v>0</v>
      </c>
      <c r="S80" s="48"/>
      <c r="T80" s="42"/>
      <c r="U80" s="42"/>
      <c r="V80" s="42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</row>
    <row r="81" spans="1:45" s="21" customFormat="1" x14ac:dyDescent="0.2">
      <c r="A81" s="22" t="s">
        <v>102</v>
      </c>
      <c r="B81" s="22" t="s">
        <v>103</v>
      </c>
      <c r="C81" s="22" t="s">
        <v>17</v>
      </c>
      <c r="D81" s="28">
        <v>4548.5200000000004</v>
      </c>
      <c r="E81" s="23">
        <f t="shared" si="25"/>
        <v>7797.4628571428575</v>
      </c>
      <c r="F81" s="23">
        <f t="shared" si="26"/>
        <v>8700</v>
      </c>
      <c r="G81" s="11">
        <v>725</v>
      </c>
      <c r="H81" s="11">
        <v>725</v>
      </c>
      <c r="I81" s="11">
        <v>725</v>
      </c>
      <c r="J81" s="11">
        <v>725</v>
      </c>
      <c r="K81" s="11">
        <v>725</v>
      </c>
      <c r="L81" s="11">
        <v>725</v>
      </c>
      <c r="M81" s="11">
        <v>725</v>
      </c>
      <c r="N81" s="11">
        <v>725</v>
      </c>
      <c r="O81" s="11">
        <v>725</v>
      </c>
      <c r="P81" s="11">
        <v>725</v>
      </c>
      <c r="Q81" s="11">
        <v>725</v>
      </c>
      <c r="R81" s="11">
        <v>725</v>
      </c>
      <c r="S81" s="47" t="s">
        <v>193</v>
      </c>
      <c r="T81" s="42"/>
      <c r="U81" s="42"/>
      <c r="V81" s="42"/>
    </row>
    <row r="82" spans="1:45" s="26" customFormat="1" ht="12" customHeight="1" x14ac:dyDescent="0.2">
      <c r="A82" s="22" t="s">
        <v>104</v>
      </c>
      <c r="B82" s="22" t="s">
        <v>105</v>
      </c>
      <c r="C82" s="22" t="s">
        <v>17</v>
      </c>
      <c r="D82" s="74">
        <v>0</v>
      </c>
      <c r="E82" s="23">
        <f t="shared" si="25"/>
        <v>0</v>
      </c>
      <c r="F82" s="23">
        <f t="shared" si="26"/>
        <v>695</v>
      </c>
      <c r="G82" s="28">
        <v>0</v>
      </c>
      <c r="H82" s="28">
        <v>0</v>
      </c>
      <c r="I82" s="28">
        <v>0</v>
      </c>
      <c r="J82" s="28">
        <v>0</v>
      </c>
      <c r="K82" s="28">
        <v>0</v>
      </c>
      <c r="L82" s="28">
        <v>0</v>
      </c>
      <c r="M82" s="28">
        <v>0</v>
      </c>
      <c r="N82" s="28">
        <v>0</v>
      </c>
      <c r="O82" s="28">
        <v>0</v>
      </c>
      <c r="P82" s="28">
        <v>0</v>
      </c>
      <c r="Q82" s="28">
        <v>695</v>
      </c>
      <c r="R82" s="28">
        <v>0</v>
      </c>
      <c r="S82" s="61" t="s">
        <v>190</v>
      </c>
      <c r="T82" s="42"/>
      <c r="U82" s="42"/>
      <c r="V82" s="42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5"/>
      <c r="AS82" s="25"/>
    </row>
    <row r="83" spans="1:45" s="21" customFormat="1" x14ac:dyDescent="0.2">
      <c r="A83" s="22" t="s">
        <v>106</v>
      </c>
      <c r="B83" s="22" t="s">
        <v>107</v>
      </c>
      <c r="C83" s="22" t="s">
        <v>17</v>
      </c>
      <c r="D83" s="28">
        <v>12252.56</v>
      </c>
      <c r="E83" s="23">
        <f t="shared" si="25"/>
        <v>21004.388571428572</v>
      </c>
      <c r="F83" s="23">
        <f t="shared" si="26"/>
        <v>28800</v>
      </c>
      <c r="G83" s="11">
        <v>2400</v>
      </c>
      <c r="H83" s="11">
        <v>2400</v>
      </c>
      <c r="I83" s="11">
        <v>2400</v>
      </c>
      <c r="J83" s="11">
        <v>2400</v>
      </c>
      <c r="K83" s="11">
        <v>2400</v>
      </c>
      <c r="L83" s="11">
        <v>2400</v>
      </c>
      <c r="M83" s="11">
        <v>2400</v>
      </c>
      <c r="N83" s="11">
        <v>2400</v>
      </c>
      <c r="O83" s="11">
        <v>2400</v>
      </c>
      <c r="P83" s="11">
        <v>2400</v>
      </c>
      <c r="Q83" s="11">
        <v>2400</v>
      </c>
      <c r="R83" s="11">
        <v>2400</v>
      </c>
      <c r="S83" s="61" t="s">
        <v>191</v>
      </c>
      <c r="T83" s="42"/>
      <c r="U83" s="42"/>
      <c r="V83" s="42"/>
    </row>
    <row r="84" spans="1:45" s="21" customFormat="1" x14ac:dyDescent="0.2">
      <c r="A84" s="22" t="s">
        <v>108</v>
      </c>
      <c r="B84" s="22" t="s">
        <v>109</v>
      </c>
      <c r="C84" s="22" t="s">
        <v>17</v>
      </c>
      <c r="D84" s="28">
        <v>6771.25</v>
      </c>
      <c r="E84" s="23">
        <f t="shared" si="25"/>
        <v>11607.857142857143</v>
      </c>
      <c r="F84" s="23">
        <f t="shared" si="26"/>
        <v>7294.5</v>
      </c>
      <c r="G84" s="11">
        <v>1187.5</v>
      </c>
      <c r="H84" s="11">
        <v>2407</v>
      </c>
      <c r="I84" s="11">
        <v>600</v>
      </c>
      <c r="J84" s="11">
        <v>600</v>
      </c>
      <c r="K84" s="11">
        <v>0</v>
      </c>
      <c r="L84" s="11">
        <v>0</v>
      </c>
      <c r="M84" s="11">
        <v>0</v>
      </c>
      <c r="N84" s="11">
        <v>0</v>
      </c>
      <c r="O84" s="11">
        <v>0</v>
      </c>
      <c r="P84" s="11">
        <v>500</v>
      </c>
      <c r="Q84" s="11">
        <v>800</v>
      </c>
      <c r="R84" s="11">
        <v>1200</v>
      </c>
      <c r="S84" s="45"/>
      <c r="T84" s="42"/>
      <c r="U84" s="42"/>
      <c r="V84" s="42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Q84" s="25"/>
      <c r="AR84" s="26"/>
      <c r="AS84" s="26"/>
    </row>
    <row r="85" spans="1:45" s="21" customFormat="1" x14ac:dyDescent="0.2">
      <c r="A85" s="22" t="s">
        <v>110</v>
      </c>
      <c r="B85" s="22" t="s">
        <v>111</v>
      </c>
      <c r="C85" s="22" t="s">
        <v>17</v>
      </c>
      <c r="D85" s="28">
        <v>577.5</v>
      </c>
      <c r="E85" s="23">
        <f t="shared" si="25"/>
        <v>990</v>
      </c>
      <c r="F85" s="23">
        <f t="shared" si="26"/>
        <v>990</v>
      </c>
      <c r="G85" s="11">
        <v>82.5</v>
      </c>
      <c r="H85" s="11">
        <v>82.5</v>
      </c>
      <c r="I85" s="11">
        <v>82.5</v>
      </c>
      <c r="J85" s="11">
        <v>82.5</v>
      </c>
      <c r="K85" s="11">
        <v>82.5</v>
      </c>
      <c r="L85" s="11">
        <v>82.5</v>
      </c>
      <c r="M85" s="11">
        <v>82.5</v>
      </c>
      <c r="N85" s="11">
        <v>82.5</v>
      </c>
      <c r="O85" s="11">
        <v>82.5</v>
      </c>
      <c r="P85" s="11">
        <v>82.5</v>
      </c>
      <c r="Q85" s="11">
        <v>82.5</v>
      </c>
      <c r="R85" s="11">
        <v>82.5</v>
      </c>
      <c r="S85" s="42"/>
      <c r="T85" s="42"/>
      <c r="U85" s="42"/>
      <c r="V85" s="42"/>
      <c r="X85" s="25"/>
      <c r="Y85" s="25"/>
      <c r="Z85" s="25"/>
      <c r="AA85" s="25"/>
      <c r="AB85" s="25"/>
      <c r="AP85" s="25"/>
    </row>
    <row r="86" spans="1:45" s="21" customFormat="1" ht="13.5" thickBot="1" x14ac:dyDescent="0.25">
      <c r="A86" s="22" t="s">
        <v>112</v>
      </c>
      <c r="B86" s="22" t="s">
        <v>113</v>
      </c>
      <c r="C86" s="22" t="s">
        <v>17</v>
      </c>
      <c r="D86" s="28">
        <v>1577.65</v>
      </c>
      <c r="E86" s="23">
        <f t="shared" si="25"/>
        <v>2704.5428571428574</v>
      </c>
      <c r="F86" s="23">
        <f t="shared" si="26"/>
        <v>2730</v>
      </c>
      <c r="G86" s="11">
        <v>227.5</v>
      </c>
      <c r="H86" s="11">
        <v>227.5</v>
      </c>
      <c r="I86" s="11">
        <v>227.5</v>
      </c>
      <c r="J86" s="11">
        <v>227.5</v>
      </c>
      <c r="K86" s="11">
        <v>227.5</v>
      </c>
      <c r="L86" s="11">
        <v>227.5</v>
      </c>
      <c r="M86" s="11">
        <v>227.5</v>
      </c>
      <c r="N86" s="11">
        <v>227.5</v>
      </c>
      <c r="O86" s="11">
        <v>227.5</v>
      </c>
      <c r="P86" s="11">
        <v>227.5</v>
      </c>
      <c r="Q86" s="11">
        <v>227.5</v>
      </c>
      <c r="R86" s="11">
        <v>227.5</v>
      </c>
      <c r="S86" s="61" t="s">
        <v>195</v>
      </c>
      <c r="T86" s="43"/>
      <c r="U86" s="43"/>
      <c r="V86" s="43"/>
      <c r="W86" s="25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Q86" s="26"/>
    </row>
    <row r="87" spans="1:45" s="21" customFormat="1" x14ac:dyDescent="0.2">
      <c r="A87" s="30"/>
      <c r="B87" s="30" t="s">
        <v>114</v>
      </c>
      <c r="C87" s="30" t="s">
        <v>17</v>
      </c>
      <c r="D87" s="31">
        <f>SUM(D71:D86)</f>
        <v>114356.5</v>
      </c>
      <c r="E87" s="31">
        <f t="shared" ref="E87" si="29">SUM(E71:E86)</f>
        <v>196039.71428571426</v>
      </c>
      <c r="F87" s="31">
        <f>SUM(F71:F86)</f>
        <v>208036.30000000002</v>
      </c>
      <c r="G87" s="31">
        <f t="shared" ref="G87:R87" si="30">SUM(G71:G86)</f>
        <v>17308.449999999997</v>
      </c>
      <c r="H87" s="31">
        <f t="shared" si="30"/>
        <v>17927.949999999997</v>
      </c>
      <c r="I87" s="31">
        <f t="shared" si="30"/>
        <v>16120.949999999999</v>
      </c>
      <c r="J87" s="31">
        <f t="shared" si="30"/>
        <v>17444.949999999997</v>
      </c>
      <c r="K87" s="31">
        <f t="shared" si="30"/>
        <v>17602.55</v>
      </c>
      <c r="L87" s="31">
        <f t="shared" si="30"/>
        <v>16534.55</v>
      </c>
      <c r="M87" s="31">
        <f t="shared" si="30"/>
        <v>16534.55</v>
      </c>
      <c r="N87" s="31">
        <f t="shared" si="30"/>
        <v>16534.55</v>
      </c>
      <c r="O87" s="31">
        <f t="shared" si="30"/>
        <v>16534.55</v>
      </c>
      <c r="P87" s="31">
        <f t="shared" si="30"/>
        <v>16944.949999999997</v>
      </c>
      <c r="Q87" s="31">
        <f t="shared" si="30"/>
        <v>17939.949999999997</v>
      </c>
      <c r="R87" s="31">
        <f t="shared" si="30"/>
        <v>20608.349999999999</v>
      </c>
      <c r="S87" s="42"/>
      <c r="T87" s="42"/>
      <c r="U87" s="42"/>
      <c r="V87" s="42"/>
      <c r="X87" s="26"/>
      <c r="Y87" s="26"/>
      <c r="Z87" s="26"/>
      <c r="AA87" s="26"/>
      <c r="AB87" s="26"/>
      <c r="AP87" s="26"/>
    </row>
    <row r="88" spans="1:45" s="25" customFormat="1" x14ac:dyDescent="0.2">
      <c r="A88" s="22"/>
      <c r="B88" s="22"/>
      <c r="C88" s="22"/>
      <c r="D88" s="28"/>
      <c r="E88" s="23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44"/>
      <c r="T88" s="44"/>
      <c r="U88" s="44"/>
      <c r="V88" s="44"/>
      <c r="W88" s="26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</row>
    <row r="89" spans="1:45" s="21" customFormat="1" x14ac:dyDescent="0.2">
      <c r="A89" s="29"/>
      <c r="B89" s="29" t="s">
        <v>147</v>
      </c>
      <c r="C89" s="29"/>
      <c r="D89" s="36"/>
      <c r="E89" s="69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42"/>
      <c r="T89" s="42"/>
      <c r="U89" s="42"/>
      <c r="V89" s="42"/>
    </row>
    <row r="90" spans="1:45" s="25" customFormat="1" x14ac:dyDescent="0.2">
      <c r="A90" s="22" t="s">
        <v>174</v>
      </c>
      <c r="B90" s="22" t="s">
        <v>173</v>
      </c>
      <c r="C90" s="29"/>
      <c r="D90" s="28">
        <v>0</v>
      </c>
      <c r="E90" s="23">
        <f>D90/7*12</f>
        <v>0</v>
      </c>
      <c r="F90" s="28">
        <v>0</v>
      </c>
      <c r="G90" s="28">
        <v>0</v>
      </c>
      <c r="H90" s="28">
        <v>0</v>
      </c>
      <c r="I90" s="28">
        <v>0</v>
      </c>
      <c r="J90" s="28">
        <v>0</v>
      </c>
      <c r="K90" s="28">
        <v>0</v>
      </c>
      <c r="L90" s="28">
        <v>0</v>
      </c>
      <c r="M90" s="28">
        <v>0</v>
      </c>
      <c r="N90" s="28">
        <v>0</v>
      </c>
      <c r="O90" s="28">
        <v>0</v>
      </c>
      <c r="P90" s="28">
        <v>0</v>
      </c>
      <c r="Q90" s="28">
        <v>0</v>
      </c>
      <c r="R90" s="28">
        <v>0</v>
      </c>
      <c r="S90" s="42"/>
      <c r="T90" s="42"/>
      <c r="U90" s="42"/>
      <c r="V90" s="42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</row>
    <row r="91" spans="1:45" s="21" customFormat="1" x14ac:dyDescent="0.2">
      <c r="A91" s="22" t="s">
        <v>115</v>
      </c>
      <c r="B91" s="22" t="s">
        <v>116</v>
      </c>
      <c r="C91" s="22" t="s">
        <v>17</v>
      </c>
      <c r="D91" s="28">
        <v>7777.19</v>
      </c>
      <c r="E91" s="23">
        <f t="shared" ref="E91:E95" si="31">D91/7*12</f>
        <v>13332.325714285713</v>
      </c>
      <c r="F91" s="23">
        <f>SUM(G91:R91)</f>
        <v>13315.50836</v>
      </c>
      <c r="G91" s="23">
        <f>(G47+G50+G71)*0.1365</f>
        <v>1531.6159950000003</v>
      </c>
      <c r="H91" s="23">
        <f t="shared" ref="H91:J91" si="32">(H47+H50+H71)*0.1365</f>
        <v>1531.6159950000003</v>
      </c>
      <c r="I91" s="23">
        <f t="shared" si="32"/>
        <v>1531.6159950000003</v>
      </c>
      <c r="J91" s="23">
        <f t="shared" si="32"/>
        <v>1531.6159950000003</v>
      </c>
      <c r="K91" s="23">
        <f>(K47+K50+K71)*0.0745</f>
        <v>835.93693500000006</v>
      </c>
      <c r="L91" s="23">
        <f t="shared" ref="L91:R91" si="33">(L47+L50+L71)*0.0745</f>
        <v>835.93693500000006</v>
      </c>
      <c r="M91" s="23">
        <f t="shared" si="33"/>
        <v>835.93693500000006</v>
      </c>
      <c r="N91" s="23">
        <f t="shared" si="33"/>
        <v>835.93693500000006</v>
      </c>
      <c r="O91" s="23">
        <f t="shared" si="33"/>
        <v>835.93693500000006</v>
      </c>
      <c r="P91" s="23">
        <f t="shared" si="33"/>
        <v>835.93693500000006</v>
      </c>
      <c r="Q91" s="23">
        <f t="shared" si="33"/>
        <v>835.93693500000006</v>
      </c>
      <c r="R91" s="23">
        <f t="shared" si="33"/>
        <v>1337.4858350000002</v>
      </c>
      <c r="S91" s="63" t="s">
        <v>199</v>
      </c>
      <c r="T91" s="42"/>
      <c r="U91" s="42"/>
      <c r="V91" s="42"/>
    </row>
    <row r="92" spans="1:45" s="21" customFormat="1" x14ac:dyDescent="0.2">
      <c r="A92" s="22" t="s">
        <v>220</v>
      </c>
      <c r="B92" s="22" t="s">
        <v>188</v>
      </c>
      <c r="C92" s="22"/>
      <c r="D92" s="28">
        <v>769.19</v>
      </c>
      <c r="E92" s="23">
        <v>769</v>
      </c>
      <c r="F92" s="23">
        <f t="shared" ref="F92:F96" si="34">SUM(G92:R92)</f>
        <v>600</v>
      </c>
      <c r="G92" s="28">
        <v>0</v>
      </c>
      <c r="H92" s="28">
        <v>0</v>
      </c>
      <c r="I92" s="28">
        <v>600</v>
      </c>
      <c r="J92" s="28">
        <v>0</v>
      </c>
      <c r="K92" s="28">
        <v>0</v>
      </c>
      <c r="L92" s="28">
        <v>0</v>
      </c>
      <c r="M92" s="28">
        <v>0</v>
      </c>
      <c r="N92" s="28">
        <v>0</v>
      </c>
      <c r="O92" s="28">
        <v>0</v>
      </c>
      <c r="P92" s="28">
        <v>0</v>
      </c>
      <c r="Q92" s="28">
        <v>0</v>
      </c>
      <c r="R92" s="28">
        <v>0</v>
      </c>
      <c r="S92" s="63"/>
      <c r="T92" s="42"/>
      <c r="U92" s="42"/>
      <c r="V92" s="42"/>
    </row>
    <row r="93" spans="1:45" s="25" customFormat="1" ht="12" customHeight="1" x14ac:dyDescent="0.2">
      <c r="A93" s="22" t="s">
        <v>117</v>
      </c>
      <c r="B93" s="22" t="s">
        <v>118</v>
      </c>
      <c r="C93" s="22" t="s">
        <v>17</v>
      </c>
      <c r="D93" s="28">
        <v>11932.9</v>
      </c>
      <c r="E93" s="23">
        <f t="shared" si="31"/>
        <v>20456.400000000001</v>
      </c>
      <c r="F93" s="23">
        <f t="shared" si="34"/>
        <v>20460</v>
      </c>
      <c r="G93" s="28">
        <v>1705</v>
      </c>
      <c r="H93" s="28">
        <v>1705</v>
      </c>
      <c r="I93" s="28">
        <v>1705</v>
      </c>
      <c r="J93" s="28">
        <v>1705</v>
      </c>
      <c r="K93" s="28">
        <v>1705</v>
      </c>
      <c r="L93" s="28">
        <v>1705</v>
      </c>
      <c r="M93" s="28">
        <v>1705</v>
      </c>
      <c r="N93" s="28">
        <v>1705</v>
      </c>
      <c r="O93" s="28">
        <v>1705</v>
      </c>
      <c r="P93" s="28">
        <v>1705</v>
      </c>
      <c r="Q93" s="28">
        <v>1705</v>
      </c>
      <c r="R93" s="28">
        <v>1705</v>
      </c>
      <c r="S93" s="42"/>
      <c r="T93" s="42"/>
      <c r="U93" s="42"/>
      <c r="V93" s="42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P93" s="21"/>
    </row>
    <row r="94" spans="1:45" s="21" customFormat="1" x14ac:dyDescent="0.2">
      <c r="A94" s="22" t="s">
        <v>119</v>
      </c>
      <c r="B94" s="22" t="s">
        <v>120</v>
      </c>
      <c r="C94" s="22" t="s">
        <v>17</v>
      </c>
      <c r="D94" s="28">
        <v>2088.2600000000002</v>
      </c>
      <c r="E94" s="23">
        <f t="shared" si="31"/>
        <v>3579.8742857142861</v>
      </c>
      <c r="F94" s="23">
        <f t="shared" si="34"/>
        <v>3632.7839720000011</v>
      </c>
      <c r="G94" s="23">
        <f>((G47+G50)*0.0097)+G71*0.0374</f>
        <v>288.31672100000003</v>
      </c>
      <c r="H94" s="23">
        <f t="shared" ref="H94:R94" si="35">((H47+H50)*0.0097)+H71*0.0374</f>
        <v>288.31672100000003</v>
      </c>
      <c r="I94" s="23">
        <f t="shared" si="35"/>
        <v>288.31672100000003</v>
      </c>
      <c r="J94" s="23">
        <f t="shared" si="35"/>
        <v>288.31672100000003</v>
      </c>
      <c r="K94" s="23">
        <f t="shared" si="35"/>
        <v>288.31672100000003</v>
      </c>
      <c r="L94" s="23">
        <f t="shared" si="35"/>
        <v>288.31672100000003</v>
      </c>
      <c r="M94" s="23">
        <f t="shared" si="35"/>
        <v>288.31672100000003</v>
      </c>
      <c r="N94" s="23">
        <f t="shared" si="35"/>
        <v>288.31672100000003</v>
      </c>
      <c r="O94" s="23">
        <f t="shared" si="35"/>
        <v>288.31672100000003</v>
      </c>
      <c r="P94" s="23">
        <f t="shared" si="35"/>
        <v>288.31672100000003</v>
      </c>
      <c r="Q94" s="23">
        <f t="shared" si="35"/>
        <v>288.31672100000003</v>
      </c>
      <c r="R94" s="23">
        <f t="shared" si="35"/>
        <v>461.30004100000008</v>
      </c>
      <c r="S94" s="42"/>
      <c r="T94" s="42"/>
      <c r="U94" s="42"/>
      <c r="V94" s="42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P94" s="25"/>
    </row>
    <row r="95" spans="1:45" s="52" customFormat="1" x14ac:dyDescent="0.2">
      <c r="A95" s="22" t="s">
        <v>121</v>
      </c>
      <c r="B95" s="22" t="s">
        <v>122</v>
      </c>
      <c r="C95" s="22" t="s">
        <v>17</v>
      </c>
      <c r="D95" s="28">
        <v>12257.85</v>
      </c>
      <c r="E95" s="23">
        <f t="shared" si="31"/>
        <v>21013.457142857143</v>
      </c>
      <c r="F95" s="23">
        <f t="shared" si="34"/>
        <v>19176</v>
      </c>
      <c r="G95" s="28">
        <v>1598</v>
      </c>
      <c r="H95" s="28">
        <v>1598</v>
      </c>
      <c r="I95" s="28">
        <v>1598</v>
      </c>
      <c r="J95" s="28">
        <v>1598</v>
      </c>
      <c r="K95" s="28">
        <v>1598</v>
      </c>
      <c r="L95" s="28">
        <v>1598</v>
      </c>
      <c r="M95" s="28">
        <v>1598</v>
      </c>
      <c r="N95" s="28">
        <v>1598</v>
      </c>
      <c r="O95" s="28">
        <v>1598</v>
      </c>
      <c r="P95" s="28">
        <v>1598</v>
      </c>
      <c r="Q95" s="28">
        <v>1598</v>
      </c>
      <c r="R95" s="28">
        <v>1598</v>
      </c>
      <c r="S95" s="61" t="s">
        <v>200</v>
      </c>
      <c r="T95" s="42"/>
      <c r="U95" s="42"/>
      <c r="V95" s="42"/>
      <c r="W95" s="21"/>
      <c r="X95" s="25"/>
      <c r="Y95" s="25"/>
      <c r="Z95" s="25"/>
      <c r="AA95" s="25"/>
      <c r="AB95" s="25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5"/>
      <c r="AO95" s="25"/>
      <c r="AP95" s="21"/>
      <c r="AQ95" s="25"/>
      <c r="AR95" s="25"/>
      <c r="AS95" s="25"/>
    </row>
    <row r="96" spans="1:45" s="21" customFormat="1" ht="13.5" thickBot="1" x14ac:dyDescent="0.25">
      <c r="A96" s="22" t="s">
        <v>123</v>
      </c>
      <c r="B96" s="22" t="s">
        <v>124</v>
      </c>
      <c r="C96" s="22" t="s">
        <v>17</v>
      </c>
      <c r="D96" s="28">
        <v>187.4</v>
      </c>
      <c r="E96" s="23">
        <v>187</v>
      </c>
      <c r="F96" s="23">
        <f t="shared" si="34"/>
        <v>190</v>
      </c>
      <c r="G96" s="28">
        <v>0</v>
      </c>
      <c r="H96" s="28">
        <v>0</v>
      </c>
      <c r="I96" s="28">
        <v>190</v>
      </c>
      <c r="J96" s="28">
        <v>0</v>
      </c>
      <c r="K96" s="28">
        <v>0</v>
      </c>
      <c r="L96" s="28">
        <v>0</v>
      </c>
      <c r="M96" s="28">
        <v>0</v>
      </c>
      <c r="N96" s="28">
        <v>0</v>
      </c>
      <c r="O96" s="28">
        <v>0</v>
      </c>
      <c r="P96" s="28">
        <v>0</v>
      </c>
      <c r="Q96" s="28">
        <v>0</v>
      </c>
      <c r="R96" s="28">
        <v>0</v>
      </c>
      <c r="S96" s="28" t="s">
        <v>185</v>
      </c>
      <c r="T96" s="43"/>
      <c r="U96" s="43"/>
      <c r="V96" s="43"/>
      <c r="W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P96" s="25"/>
    </row>
    <row r="97" spans="1:45" s="21" customFormat="1" x14ac:dyDescent="0.2">
      <c r="A97" s="30"/>
      <c r="B97" s="30" t="s">
        <v>125</v>
      </c>
      <c r="C97" s="30" t="s">
        <v>17</v>
      </c>
      <c r="D97" s="31">
        <f>SUM(D90:D96)</f>
        <v>35012.79</v>
      </c>
      <c r="E97" s="31">
        <f t="shared" ref="E97" si="36">SUM(E90:E96)</f>
        <v>59338.057142857142</v>
      </c>
      <c r="F97" s="31">
        <f>SUM(F90:F96)</f>
        <v>57374.292331999997</v>
      </c>
      <c r="G97" s="31">
        <f t="shared" ref="G97:R97" si="37">SUM(G90:G96)</f>
        <v>5122.9327160000003</v>
      </c>
      <c r="H97" s="31">
        <f t="shared" si="37"/>
        <v>5122.9327160000003</v>
      </c>
      <c r="I97" s="31">
        <f t="shared" si="37"/>
        <v>5912.9327160000003</v>
      </c>
      <c r="J97" s="31">
        <f t="shared" si="37"/>
        <v>5122.9327160000003</v>
      </c>
      <c r="K97" s="31">
        <f t="shared" si="37"/>
        <v>4427.2536560000008</v>
      </c>
      <c r="L97" s="31">
        <f t="shared" si="37"/>
        <v>4427.2536560000008</v>
      </c>
      <c r="M97" s="31">
        <f t="shared" si="37"/>
        <v>4427.2536560000008</v>
      </c>
      <c r="N97" s="31">
        <f t="shared" si="37"/>
        <v>4427.2536560000008</v>
      </c>
      <c r="O97" s="31">
        <f t="shared" si="37"/>
        <v>4427.2536560000008</v>
      </c>
      <c r="P97" s="31">
        <f t="shared" si="37"/>
        <v>4427.2536560000008</v>
      </c>
      <c r="Q97" s="31">
        <f t="shared" si="37"/>
        <v>4427.2536560000008</v>
      </c>
      <c r="R97" s="31">
        <f t="shared" si="37"/>
        <v>5101.7858759999999</v>
      </c>
      <c r="S97" s="42"/>
      <c r="T97" s="42"/>
      <c r="U97" s="42"/>
      <c r="V97" s="42"/>
      <c r="X97" s="25"/>
      <c r="Y97" s="25"/>
      <c r="Z97" s="25"/>
      <c r="AA97" s="25"/>
      <c r="AB97" s="25"/>
      <c r="AN97" s="25"/>
      <c r="AO97" s="25"/>
      <c r="AQ97" s="25"/>
      <c r="AR97" s="52"/>
      <c r="AS97" s="52"/>
    </row>
    <row r="98" spans="1:45" ht="13.5" thickBot="1" x14ac:dyDescent="0.25">
      <c r="A98" s="5"/>
      <c r="B98" s="5"/>
      <c r="C98" s="5"/>
      <c r="D98" s="33"/>
      <c r="E98" s="23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27"/>
      <c r="T98" s="27"/>
      <c r="U98" s="40"/>
      <c r="V98" s="40"/>
      <c r="W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P98" s="13"/>
    </row>
    <row r="99" spans="1:45" x14ac:dyDescent="0.2">
      <c r="A99" s="3"/>
      <c r="B99" s="3" t="s">
        <v>126</v>
      </c>
      <c r="C99" s="3" t="s">
        <v>17</v>
      </c>
      <c r="D99" s="31">
        <f>D61+D68+D87+D97</f>
        <v>297207.15999999997</v>
      </c>
      <c r="E99" s="31">
        <f t="shared" ref="E99" si="38">E61+E68+E87+E97</f>
        <v>506155.75428571424</v>
      </c>
      <c r="F99" s="31">
        <f>F61+F68+F87+F97</f>
        <v>543968.24463279999</v>
      </c>
      <c r="G99" s="31">
        <f t="shared" ref="G99:R99" si="39">G61+G68+G87+G97</f>
        <v>39958.697845850002</v>
      </c>
      <c r="H99" s="31">
        <f t="shared" si="39"/>
        <v>50527.416595850002</v>
      </c>
      <c r="I99" s="31">
        <f t="shared" si="39"/>
        <v>44689.631595849998</v>
      </c>
      <c r="J99" s="31">
        <f t="shared" si="39"/>
        <v>48426.434095850003</v>
      </c>
      <c r="K99" s="31">
        <f t="shared" si="39"/>
        <v>39922.13716405</v>
      </c>
      <c r="L99" s="31">
        <f t="shared" si="39"/>
        <v>47030.419664050001</v>
      </c>
      <c r="M99" s="31">
        <f t="shared" si="39"/>
        <v>38667.835914049996</v>
      </c>
      <c r="N99" s="31">
        <f t="shared" si="39"/>
        <v>50040.097164050007</v>
      </c>
      <c r="O99" s="31">
        <f t="shared" si="39"/>
        <v>39944.360914050005</v>
      </c>
      <c r="P99" s="31">
        <f t="shared" si="39"/>
        <v>46178.42591405</v>
      </c>
      <c r="Q99" s="31">
        <f t="shared" si="39"/>
        <v>40519.92591405</v>
      </c>
      <c r="R99" s="31">
        <f t="shared" si="39"/>
        <v>58062.861851050002</v>
      </c>
      <c r="S99" s="64"/>
      <c r="X99" s="13"/>
      <c r="Y99" s="13"/>
      <c r="Z99" s="13"/>
      <c r="AA99" s="13"/>
      <c r="AB99" s="13"/>
      <c r="AN99" s="16"/>
      <c r="AO99" s="16"/>
      <c r="AQ99" s="16"/>
    </row>
    <row r="100" spans="1:45" ht="13.5" thickBot="1" x14ac:dyDescent="0.25">
      <c r="A100" s="5"/>
      <c r="B100" s="5"/>
      <c r="C100" s="5"/>
      <c r="D100" s="33"/>
      <c r="E100" s="23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40"/>
      <c r="T100" s="40"/>
      <c r="U100" s="40"/>
      <c r="V100" s="40"/>
      <c r="W100" s="13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P100" s="16"/>
    </row>
    <row r="101" spans="1:45" s="13" customFormat="1" x14ac:dyDescent="0.2">
      <c r="A101" s="3"/>
      <c r="B101" s="3" t="s">
        <v>127</v>
      </c>
      <c r="C101" s="3" t="s">
        <v>17</v>
      </c>
      <c r="D101" s="31">
        <f t="shared" ref="D101:R101" si="40">D36-D99</f>
        <v>274597.12000000005</v>
      </c>
      <c r="E101" s="31">
        <f t="shared" si="40"/>
        <v>474080.15428571438</v>
      </c>
      <c r="F101" s="31">
        <f>F36-F99</f>
        <v>463357.48036719998</v>
      </c>
      <c r="G101" s="31">
        <f t="shared" si="40"/>
        <v>42482.927154149998</v>
      </c>
      <c r="H101" s="31">
        <f t="shared" si="40"/>
        <v>31954.183404150004</v>
      </c>
      <c r="I101" s="31">
        <f t="shared" si="40"/>
        <v>38287.268404149996</v>
      </c>
      <c r="J101" s="31">
        <f t="shared" si="40"/>
        <v>34854.315904149997</v>
      </c>
      <c r="K101" s="31">
        <f t="shared" si="40"/>
        <v>43426.86283595</v>
      </c>
      <c r="L101" s="31">
        <f t="shared" si="40"/>
        <v>36404.430335950005</v>
      </c>
      <c r="M101" s="31">
        <f t="shared" si="40"/>
        <v>45029.339085950007</v>
      </c>
      <c r="N101" s="31">
        <f t="shared" si="40"/>
        <v>34108.502835949999</v>
      </c>
      <c r="O101" s="31">
        <f t="shared" si="40"/>
        <v>45035.914085949989</v>
      </c>
      <c r="P101" s="31">
        <f t="shared" si="40"/>
        <v>39109.94908595</v>
      </c>
      <c r="Q101" s="31">
        <f t="shared" si="40"/>
        <v>45088.249085950003</v>
      </c>
      <c r="R101" s="31">
        <f t="shared" si="40"/>
        <v>27575.538148949992</v>
      </c>
      <c r="S101" s="39"/>
      <c r="T101" s="39"/>
      <c r="U101" s="39"/>
      <c r="V101" s="39"/>
      <c r="W101"/>
      <c r="X101" s="16"/>
      <c r="Y101" s="16"/>
      <c r="Z101" s="16"/>
      <c r="AA101" s="16"/>
      <c r="AB101" s="16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</row>
    <row r="102" spans="1:45" x14ac:dyDescent="0.2">
      <c r="A102" s="5"/>
      <c r="B102" s="5"/>
      <c r="C102" s="5"/>
      <c r="D102" s="33"/>
      <c r="E102" s="23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49"/>
      <c r="T102" s="49"/>
      <c r="U102" s="49"/>
      <c r="V102" s="49"/>
      <c r="W102" s="16"/>
    </row>
    <row r="103" spans="1:45" s="13" customFormat="1" x14ac:dyDescent="0.2">
      <c r="A103" s="14"/>
      <c r="B103" s="17" t="s">
        <v>128</v>
      </c>
      <c r="C103" s="14"/>
      <c r="D103" s="59"/>
      <c r="E103" s="70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39"/>
      <c r="T103" s="39"/>
      <c r="U103" s="39"/>
      <c r="V103" s="39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</row>
    <row r="104" spans="1:45" s="21" customFormat="1" ht="13.5" thickBot="1" x14ac:dyDescent="0.25">
      <c r="A104" s="22" t="s">
        <v>129</v>
      </c>
      <c r="B104" s="22" t="s">
        <v>130</v>
      </c>
      <c r="C104" s="22" t="s">
        <v>17</v>
      </c>
      <c r="D104" s="24">
        <v>71676.13</v>
      </c>
      <c r="E104" s="23">
        <f>D104/7*12</f>
        <v>122873.36571428573</v>
      </c>
      <c r="F104" s="23">
        <f>SUM(G104:R104)</f>
        <v>114947.89</v>
      </c>
      <c r="G104" s="8">
        <v>9834.82</v>
      </c>
      <c r="H104" s="8">
        <v>9788.83</v>
      </c>
      <c r="I104" s="8">
        <v>9752.6</v>
      </c>
      <c r="J104" s="8">
        <v>9696.25</v>
      </c>
      <c r="K104" s="8">
        <v>9649.66</v>
      </c>
      <c r="L104" s="8">
        <v>9602.86</v>
      </c>
      <c r="M104" s="8">
        <v>9555.86</v>
      </c>
      <c r="N104" s="8">
        <v>9508.65</v>
      </c>
      <c r="O104" s="8">
        <v>9461.23</v>
      </c>
      <c r="P104" s="8">
        <v>9413.61</v>
      </c>
      <c r="Q104" s="8">
        <v>9365.7800000000007</v>
      </c>
      <c r="R104" s="8">
        <v>9317.74</v>
      </c>
      <c r="S104" s="28"/>
      <c r="T104" s="42"/>
      <c r="U104" s="42"/>
      <c r="V104" s="42"/>
    </row>
    <row r="105" spans="1:45" s="13" customFormat="1" x14ac:dyDescent="0.2">
      <c r="A105" s="3"/>
      <c r="B105" s="3" t="s">
        <v>131</v>
      </c>
      <c r="C105" s="3" t="s">
        <v>17</v>
      </c>
      <c r="D105" s="31">
        <f>SUM(D104)</f>
        <v>71676.13</v>
      </c>
      <c r="E105" s="31">
        <f t="shared" ref="E105:R105" si="41">SUM(E104)</f>
        <v>122873.36571428573</v>
      </c>
      <c r="F105" s="12">
        <f t="shared" si="41"/>
        <v>114947.89</v>
      </c>
      <c r="G105" s="12">
        <f t="shared" si="41"/>
        <v>9834.82</v>
      </c>
      <c r="H105" s="12">
        <f t="shared" si="41"/>
        <v>9788.83</v>
      </c>
      <c r="I105" s="12">
        <f t="shared" si="41"/>
        <v>9752.6</v>
      </c>
      <c r="J105" s="12">
        <f t="shared" si="41"/>
        <v>9696.25</v>
      </c>
      <c r="K105" s="12">
        <f t="shared" si="41"/>
        <v>9649.66</v>
      </c>
      <c r="L105" s="12">
        <f t="shared" si="41"/>
        <v>9602.86</v>
      </c>
      <c r="M105" s="12">
        <f t="shared" si="41"/>
        <v>9555.86</v>
      </c>
      <c r="N105" s="12">
        <f t="shared" si="41"/>
        <v>9508.65</v>
      </c>
      <c r="O105" s="12">
        <f t="shared" si="41"/>
        <v>9461.23</v>
      </c>
      <c r="P105" s="12">
        <f t="shared" si="41"/>
        <v>9413.61</v>
      </c>
      <c r="Q105" s="12">
        <f t="shared" si="41"/>
        <v>9365.7800000000007</v>
      </c>
      <c r="R105" s="12">
        <f t="shared" si="41"/>
        <v>9317.74</v>
      </c>
      <c r="S105" s="40"/>
      <c r="T105" s="40"/>
      <c r="U105" s="40"/>
      <c r="V105" s="40"/>
    </row>
    <row r="106" spans="1:45" s="19" customFormat="1" x14ac:dyDescent="0.2">
      <c r="A106" s="5"/>
      <c r="B106" s="5"/>
      <c r="C106" s="5"/>
      <c r="D106" s="33"/>
      <c r="E106" s="23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39"/>
      <c r="T106" s="39"/>
      <c r="U106" s="39"/>
      <c r="V106" s="39"/>
      <c r="W106"/>
      <c r="X106"/>
      <c r="Y106"/>
      <c r="Z106"/>
      <c r="AA106"/>
      <c r="AB106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/>
      <c r="AO106"/>
      <c r="AP106" s="13"/>
      <c r="AQ106"/>
      <c r="AR106"/>
      <c r="AS106"/>
    </row>
    <row r="107" spans="1:45" x14ac:dyDescent="0.2">
      <c r="A107" s="4"/>
      <c r="B107" s="17" t="s">
        <v>132</v>
      </c>
      <c r="C107" s="4" t="s">
        <v>17</v>
      </c>
      <c r="D107" s="24"/>
      <c r="E107" s="23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X107" s="13"/>
      <c r="Y107" s="13"/>
      <c r="Z107" s="13"/>
      <c r="AA107" s="13"/>
      <c r="AB107" s="13"/>
      <c r="AN107" s="13"/>
      <c r="AO107" s="13"/>
      <c r="AQ107" s="13"/>
    </row>
    <row r="108" spans="1:45" x14ac:dyDescent="0.2">
      <c r="A108" s="4" t="s">
        <v>222</v>
      </c>
      <c r="B108" s="4" t="s">
        <v>215</v>
      </c>
      <c r="C108" s="4"/>
      <c r="D108" s="24">
        <v>0</v>
      </c>
      <c r="E108" s="28">
        <f>D108/7*12</f>
        <v>0</v>
      </c>
      <c r="F108" s="28">
        <f>SUM(G108:R108)</f>
        <v>3950</v>
      </c>
      <c r="G108" s="8">
        <v>0</v>
      </c>
      <c r="H108" s="8">
        <v>0</v>
      </c>
      <c r="I108" s="8">
        <v>0</v>
      </c>
      <c r="J108" s="8">
        <v>3950</v>
      </c>
      <c r="K108" s="8">
        <v>0</v>
      </c>
      <c r="L108" s="8">
        <v>0</v>
      </c>
      <c r="M108" s="8">
        <v>0</v>
      </c>
      <c r="N108" s="8">
        <v>0</v>
      </c>
      <c r="O108" s="8">
        <v>0</v>
      </c>
      <c r="P108" s="8">
        <v>0</v>
      </c>
      <c r="Q108" s="8">
        <v>0</v>
      </c>
      <c r="R108" s="8">
        <v>0</v>
      </c>
      <c r="X108" s="13"/>
      <c r="Y108" s="13"/>
      <c r="Z108" s="13"/>
      <c r="AA108" s="13"/>
      <c r="AB108" s="13"/>
      <c r="AN108" s="13"/>
      <c r="AO108" s="13"/>
      <c r="AQ108" s="13"/>
    </row>
    <row r="109" spans="1:45" ht="13.5" thickBot="1" x14ac:dyDescent="0.25">
      <c r="A109" s="4" t="s">
        <v>221</v>
      </c>
      <c r="B109" s="4" t="s">
        <v>214</v>
      </c>
      <c r="C109" s="4"/>
      <c r="D109" s="24">
        <v>0</v>
      </c>
      <c r="E109" s="28">
        <f t="shared" ref="E109" si="42">D109/7*12</f>
        <v>0</v>
      </c>
      <c r="F109" s="28">
        <f t="shared" ref="F109" si="43">SUM(G109:R109)</f>
        <v>78700</v>
      </c>
      <c r="G109" s="8">
        <v>0</v>
      </c>
      <c r="H109" s="8">
        <v>0</v>
      </c>
      <c r="I109" s="8">
        <v>0</v>
      </c>
      <c r="J109" s="8">
        <v>0</v>
      </c>
      <c r="K109" s="8">
        <v>78700</v>
      </c>
      <c r="L109" s="8">
        <v>0</v>
      </c>
      <c r="M109" s="8">
        <v>0</v>
      </c>
      <c r="N109" s="8">
        <v>0</v>
      </c>
      <c r="O109" s="8">
        <v>0</v>
      </c>
      <c r="P109" s="8">
        <v>0</v>
      </c>
      <c r="Q109" s="8">
        <v>0</v>
      </c>
      <c r="R109" s="8">
        <v>0</v>
      </c>
      <c r="S109" s="8"/>
      <c r="T109" s="8"/>
      <c r="U109" s="8"/>
      <c r="V109" s="8"/>
      <c r="W109" s="8"/>
      <c r="X109" s="8"/>
      <c r="Y109" s="8"/>
      <c r="Z109" s="8"/>
      <c r="AA109" s="13"/>
      <c r="AB109" s="13"/>
      <c r="AN109" s="13"/>
      <c r="AO109" s="13"/>
      <c r="AQ109" s="13"/>
    </row>
    <row r="110" spans="1:45" s="13" customFormat="1" x14ac:dyDescent="0.2">
      <c r="A110" s="3"/>
      <c r="B110" s="3" t="s">
        <v>133</v>
      </c>
      <c r="C110" s="3" t="s">
        <v>17</v>
      </c>
      <c r="D110" s="56">
        <f t="shared" ref="D110:R110" si="44">SUM(D108:D109)</f>
        <v>0</v>
      </c>
      <c r="E110" s="56">
        <f t="shared" si="44"/>
        <v>0</v>
      </c>
      <c r="F110" s="56">
        <f t="shared" si="44"/>
        <v>82650</v>
      </c>
      <c r="G110" s="56">
        <f t="shared" si="44"/>
        <v>0</v>
      </c>
      <c r="H110" s="56">
        <f t="shared" si="44"/>
        <v>0</v>
      </c>
      <c r="I110" s="56">
        <f t="shared" si="44"/>
        <v>0</v>
      </c>
      <c r="J110" s="56">
        <f t="shared" si="44"/>
        <v>3950</v>
      </c>
      <c r="K110" s="56">
        <f t="shared" si="44"/>
        <v>78700</v>
      </c>
      <c r="L110" s="56">
        <f t="shared" si="44"/>
        <v>0</v>
      </c>
      <c r="M110" s="56">
        <f t="shared" si="44"/>
        <v>0</v>
      </c>
      <c r="N110" s="56">
        <f t="shared" si="44"/>
        <v>0</v>
      </c>
      <c r="O110" s="56">
        <f t="shared" si="44"/>
        <v>0</v>
      </c>
      <c r="P110" s="56">
        <f t="shared" si="44"/>
        <v>0</v>
      </c>
      <c r="Q110" s="56">
        <f t="shared" si="44"/>
        <v>0</v>
      </c>
      <c r="R110" s="56">
        <f t="shared" si="44"/>
        <v>0</v>
      </c>
      <c r="S110" s="39"/>
      <c r="T110" s="39"/>
      <c r="U110" s="39"/>
      <c r="V110" s="39"/>
      <c r="W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</row>
    <row r="111" spans="1:45" s="13" customFormat="1" x14ac:dyDescent="0.2">
      <c r="A111" s="5"/>
      <c r="B111" s="5"/>
      <c r="C111" s="5"/>
      <c r="D111" s="33"/>
      <c r="E111" s="23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40"/>
      <c r="T111" s="40"/>
      <c r="U111" s="40"/>
      <c r="V111" s="40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 s="19"/>
      <c r="AO111" s="19"/>
      <c r="AP111"/>
      <c r="AQ111" s="19"/>
      <c r="AR111"/>
      <c r="AS111"/>
    </row>
    <row r="112" spans="1:45" ht="17.25" customHeight="1" x14ac:dyDescent="0.2">
      <c r="A112" s="17"/>
      <c r="B112" s="17" t="s">
        <v>140</v>
      </c>
      <c r="C112" s="17"/>
      <c r="D112" s="35"/>
      <c r="E112" s="69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AN112" s="13"/>
      <c r="AO112" s="13"/>
      <c r="AQ112" s="13"/>
    </row>
    <row r="113" spans="1:45" s="21" customFormat="1" x14ac:dyDescent="0.2">
      <c r="A113" s="22" t="s">
        <v>141</v>
      </c>
      <c r="B113" s="22" t="s">
        <v>142</v>
      </c>
      <c r="C113" s="22" t="s">
        <v>17</v>
      </c>
      <c r="D113" s="24">
        <v>70748.53</v>
      </c>
      <c r="E113" s="23">
        <f>D113/7*12</f>
        <v>121283.1942857143</v>
      </c>
      <c r="F113" s="28">
        <f t="shared" ref="F113:F114" si="45">SUM(G113:R113)</f>
        <v>129218.382</v>
      </c>
      <c r="G113" s="8">
        <v>10511.56</v>
      </c>
      <c r="H113" s="8">
        <v>10557.55</v>
      </c>
      <c r="I113" s="8">
        <v>10603.74</v>
      </c>
      <c r="J113" s="8">
        <v>10650.13</v>
      </c>
      <c r="K113" s="8">
        <v>10696.472</v>
      </c>
      <c r="L113" s="8">
        <v>10743.52</v>
      </c>
      <c r="M113" s="8">
        <v>10790.52</v>
      </c>
      <c r="N113" s="8">
        <v>10837.73</v>
      </c>
      <c r="O113" s="8">
        <v>10885.15</v>
      </c>
      <c r="P113" s="8">
        <v>10932.77</v>
      </c>
      <c r="Q113" s="8">
        <v>10980.6</v>
      </c>
      <c r="R113" s="8">
        <v>11028.64</v>
      </c>
      <c r="S113" s="42"/>
      <c r="T113" s="42"/>
      <c r="U113" s="42"/>
      <c r="V113" s="42"/>
      <c r="AC113" s="25"/>
      <c r="AD113" s="25"/>
      <c r="AE113" s="25"/>
      <c r="AF113" s="25"/>
      <c r="AG113" s="25"/>
      <c r="AH113" s="25"/>
      <c r="AI113" s="25"/>
      <c r="AJ113" s="25"/>
      <c r="AK113" s="25"/>
      <c r="AL113" s="25"/>
      <c r="AM113" s="25"/>
      <c r="AP113" s="25"/>
      <c r="AR113" s="51"/>
      <c r="AS113" s="51"/>
    </row>
    <row r="114" spans="1:45" s="21" customFormat="1" ht="13.5" thickBot="1" x14ac:dyDescent="0.25">
      <c r="A114" s="22" t="s">
        <v>179</v>
      </c>
      <c r="B114" s="22" t="s">
        <v>180</v>
      </c>
      <c r="C114" s="22"/>
      <c r="D114" s="24">
        <f>2000*7</f>
        <v>14000</v>
      </c>
      <c r="E114" s="23">
        <f t="shared" ref="E114" si="46">D114/7*12</f>
        <v>24000</v>
      </c>
      <c r="F114" s="28">
        <f t="shared" si="45"/>
        <v>24000</v>
      </c>
      <c r="G114" s="8">
        <v>2000</v>
      </c>
      <c r="H114" s="8">
        <v>2000</v>
      </c>
      <c r="I114" s="8">
        <v>2000</v>
      </c>
      <c r="J114" s="8">
        <v>2000</v>
      </c>
      <c r="K114" s="8">
        <v>2000</v>
      </c>
      <c r="L114" s="8">
        <v>2000</v>
      </c>
      <c r="M114" s="8">
        <v>2000</v>
      </c>
      <c r="N114" s="8">
        <v>2000</v>
      </c>
      <c r="O114" s="8">
        <v>2000</v>
      </c>
      <c r="P114" s="8">
        <v>2000</v>
      </c>
      <c r="Q114" s="8">
        <v>2000</v>
      </c>
      <c r="R114" s="8">
        <v>2000</v>
      </c>
      <c r="S114" s="42"/>
      <c r="T114" s="42"/>
      <c r="U114" s="42"/>
      <c r="V114" s="42"/>
      <c r="AC114" s="25"/>
      <c r="AD114" s="25"/>
      <c r="AE114" s="25"/>
      <c r="AF114" s="25"/>
      <c r="AG114" s="25"/>
      <c r="AH114" s="25"/>
      <c r="AI114" s="25"/>
      <c r="AJ114" s="25"/>
      <c r="AK114" s="25"/>
      <c r="AL114" s="25"/>
      <c r="AM114" s="25"/>
      <c r="AP114" s="25"/>
      <c r="AR114" s="51"/>
      <c r="AS114" s="51"/>
    </row>
    <row r="115" spans="1:45" s="25" customFormat="1" ht="13.5" thickBot="1" x14ac:dyDescent="0.25">
      <c r="A115" s="30"/>
      <c r="B115" s="30" t="s">
        <v>178</v>
      </c>
      <c r="C115" s="30" t="s">
        <v>17</v>
      </c>
      <c r="D115" s="31">
        <f>SUM(D113:D114)</f>
        <v>84748.53</v>
      </c>
      <c r="E115" s="31">
        <f t="shared" ref="E115:R115" si="47">SUM(E113:E114)</f>
        <v>145283.1942857143</v>
      </c>
      <c r="F115" s="31">
        <f t="shared" si="47"/>
        <v>153218.38199999998</v>
      </c>
      <c r="G115" s="31">
        <f t="shared" si="47"/>
        <v>12511.56</v>
      </c>
      <c r="H115" s="31">
        <f t="shared" si="47"/>
        <v>12557.55</v>
      </c>
      <c r="I115" s="31">
        <f t="shared" si="47"/>
        <v>12603.74</v>
      </c>
      <c r="J115" s="31">
        <f t="shared" si="47"/>
        <v>12650.13</v>
      </c>
      <c r="K115" s="31">
        <f t="shared" si="47"/>
        <v>12696.472</v>
      </c>
      <c r="L115" s="31">
        <f t="shared" si="47"/>
        <v>12743.52</v>
      </c>
      <c r="M115" s="31">
        <f t="shared" si="47"/>
        <v>12790.52</v>
      </c>
      <c r="N115" s="31">
        <f t="shared" si="47"/>
        <v>12837.73</v>
      </c>
      <c r="O115" s="31">
        <f t="shared" si="47"/>
        <v>12885.15</v>
      </c>
      <c r="P115" s="31">
        <f t="shared" si="47"/>
        <v>12932.77</v>
      </c>
      <c r="Q115" s="31">
        <f t="shared" si="47"/>
        <v>12980.6</v>
      </c>
      <c r="R115" s="31">
        <f t="shared" si="47"/>
        <v>13028.64</v>
      </c>
      <c r="S115" s="42"/>
      <c r="T115" s="42"/>
      <c r="U115" s="42"/>
      <c r="V115" s="42"/>
      <c r="W115" s="21"/>
      <c r="AC115" s="21"/>
      <c r="AD115" s="21"/>
      <c r="AE115" s="21"/>
      <c r="AF115" s="21"/>
      <c r="AG115" s="21"/>
      <c r="AH115" s="21"/>
      <c r="AI115" s="21"/>
      <c r="AJ115" s="21"/>
      <c r="AK115" s="21"/>
      <c r="AL115" s="21"/>
      <c r="AM115" s="21"/>
      <c r="AN115" s="21"/>
      <c r="AO115" s="21"/>
      <c r="AP115" s="21"/>
      <c r="AQ115" s="21"/>
      <c r="AR115" s="21"/>
      <c r="AS115" s="21"/>
    </row>
    <row r="116" spans="1:45" s="21" customFormat="1" ht="13.5" thickBot="1" x14ac:dyDescent="0.25">
      <c r="A116" s="32"/>
      <c r="B116" s="32"/>
      <c r="C116" s="32"/>
      <c r="D116" s="33"/>
      <c r="E116" s="2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42"/>
      <c r="T116" s="42"/>
      <c r="U116" s="42"/>
      <c r="V116" s="42"/>
      <c r="X116" s="25"/>
      <c r="Y116" s="25"/>
      <c r="Z116" s="25"/>
      <c r="AA116" s="25"/>
      <c r="AB116" s="25"/>
    </row>
    <row r="117" spans="1:45" s="25" customFormat="1" x14ac:dyDescent="0.2">
      <c r="A117" s="30"/>
      <c r="B117" s="30" t="s">
        <v>134</v>
      </c>
      <c r="C117" s="30" t="s">
        <v>17</v>
      </c>
      <c r="D117" s="31">
        <f t="shared" ref="D117:R117" si="48">D101-D105-D110-D115</f>
        <v>118172.46000000005</v>
      </c>
      <c r="E117" s="31">
        <f t="shared" si="48"/>
        <v>205923.59428571432</v>
      </c>
      <c r="F117" s="31">
        <f t="shared" si="48"/>
        <v>112541.20836719999</v>
      </c>
      <c r="G117" s="31">
        <f t="shared" si="48"/>
        <v>20136.547154150001</v>
      </c>
      <c r="H117" s="31">
        <f t="shared" si="48"/>
        <v>9607.8034041500032</v>
      </c>
      <c r="I117" s="31">
        <f t="shared" si="48"/>
        <v>15930.928404149998</v>
      </c>
      <c r="J117" s="31">
        <f t="shared" si="48"/>
        <v>8557.9359041499974</v>
      </c>
      <c r="K117" s="31">
        <f t="shared" si="48"/>
        <v>-57619.269164050005</v>
      </c>
      <c r="L117" s="31">
        <f t="shared" si="48"/>
        <v>14058.050335950004</v>
      </c>
      <c r="M117" s="31">
        <f t="shared" si="48"/>
        <v>22682.959085950006</v>
      </c>
      <c r="N117" s="31">
        <f t="shared" si="48"/>
        <v>11762.122835949998</v>
      </c>
      <c r="O117" s="31">
        <f t="shared" si="48"/>
        <v>22689.534085949992</v>
      </c>
      <c r="P117" s="31">
        <f t="shared" si="48"/>
        <v>16763.569085949999</v>
      </c>
      <c r="Q117" s="31">
        <f t="shared" si="48"/>
        <v>22741.869085950006</v>
      </c>
      <c r="R117" s="31">
        <f t="shared" si="48"/>
        <v>5229.1581489499949</v>
      </c>
      <c r="S117" s="42"/>
      <c r="T117" s="42"/>
      <c r="U117" s="42"/>
      <c r="V117" s="42"/>
      <c r="W117" s="21"/>
      <c r="X117" s="21"/>
      <c r="Y117" s="21"/>
      <c r="Z117" s="21"/>
      <c r="AA117" s="21"/>
      <c r="AB117" s="21"/>
      <c r="AC117" s="26"/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21"/>
      <c r="AO117" s="21"/>
      <c r="AP117" s="26"/>
      <c r="AQ117" s="21"/>
    </row>
    <row r="118" spans="1:45" s="21" customFormat="1" x14ac:dyDescent="0.2">
      <c r="A118" s="22"/>
      <c r="B118" s="22"/>
      <c r="C118" s="22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42"/>
      <c r="T118" s="42"/>
      <c r="U118" s="42"/>
      <c r="V118" s="42"/>
      <c r="X118" s="26"/>
      <c r="Y118" s="26"/>
      <c r="Z118" s="26"/>
      <c r="AA118" s="26"/>
      <c r="AB118" s="26"/>
      <c r="AR118" s="25"/>
      <c r="AS118" s="25"/>
    </row>
    <row r="119" spans="1:45" s="26" customFormat="1" ht="12" customHeight="1" x14ac:dyDescent="0.2">
      <c r="A119" s="22"/>
      <c r="B119" s="22"/>
      <c r="C119" s="22"/>
      <c r="D119" s="28"/>
      <c r="E119" s="28"/>
      <c r="F119" s="28"/>
      <c r="G119" s="73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44"/>
      <c r="T119" s="44"/>
      <c r="U119" s="44"/>
      <c r="V119" s="44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  <c r="AM119" s="21"/>
      <c r="AN119" s="25"/>
      <c r="AO119" s="25"/>
      <c r="AP119" s="21"/>
      <c r="AQ119" s="25"/>
      <c r="AR119" s="25"/>
      <c r="AS119" s="25"/>
    </row>
    <row r="120" spans="1:45" s="21" customFormat="1" x14ac:dyDescent="0.2">
      <c r="A120" s="29"/>
      <c r="B120" s="29" t="s">
        <v>151</v>
      </c>
      <c r="C120" s="29"/>
      <c r="D120" s="36"/>
      <c r="E120" s="69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42"/>
      <c r="T120" s="42"/>
      <c r="U120" s="42"/>
      <c r="V120" s="42"/>
      <c r="AC120" s="25"/>
      <c r="AD120" s="25"/>
      <c r="AE120" s="25"/>
      <c r="AF120" s="25"/>
      <c r="AG120" s="25"/>
      <c r="AH120" s="25"/>
      <c r="AI120" s="25"/>
      <c r="AJ120" s="25"/>
      <c r="AK120" s="25"/>
      <c r="AL120" s="25"/>
      <c r="AM120" s="25"/>
      <c r="AN120" s="25"/>
      <c r="AO120" s="25"/>
      <c r="AP120" s="25"/>
      <c r="AQ120" s="25"/>
    </row>
    <row r="121" spans="1:45" s="21" customFormat="1" x14ac:dyDescent="0.2">
      <c r="A121" s="22" t="s">
        <v>175</v>
      </c>
      <c r="B121" s="22" t="s">
        <v>135</v>
      </c>
      <c r="C121" s="22" t="s">
        <v>17</v>
      </c>
      <c r="D121" s="28">
        <v>91259.91</v>
      </c>
      <c r="E121" s="23">
        <f>D121/7*12</f>
        <v>156445.56</v>
      </c>
      <c r="F121" s="23">
        <f>SUM(G121:R121)</f>
        <v>156444</v>
      </c>
      <c r="G121" s="28">
        <v>13037</v>
      </c>
      <c r="H121" s="28">
        <v>13037</v>
      </c>
      <c r="I121" s="28">
        <v>13037</v>
      </c>
      <c r="J121" s="28">
        <v>13037</v>
      </c>
      <c r="K121" s="28">
        <v>13037</v>
      </c>
      <c r="L121" s="28">
        <v>13037</v>
      </c>
      <c r="M121" s="28">
        <v>13037</v>
      </c>
      <c r="N121" s="28">
        <v>13037</v>
      </c>
      <c r="O121" s="28">
        <v>13037</v>
      </c>
      <c r="P121" s="28">
        <v>13037</v>
      </c>
      <c r="Q121" s="28">
        <v>13037</v>
      </c>
      <c r="R121" s="28">
        <v>13037</v>
      </c>
      <c r="S121" s="45"/>
      <c r="T121" s="42"/>
      <c r="U121" s="42"/>
      <c r="V121" s="42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  <c r="AI121" s="25"/>
      <c r="AJ121" s="25"/>
      <c r="AK121" s="25"/>
      <c r="AL121" s="25"/>
      <c r="AM121" s="25"/>
      <c r="AN121" s="25"/>
      <c r="AO121" s="25"/>
      <c r="AP121" s="25"/>
      <c r="AQ121" s="25"/>
      <c r="AR121" s="26"/>
      <c r="AS121" s="26"/>
    </row>
    <row r="122" spans="1:45" s="21" customFormat="1" ht="13.5" thickBot="1" x14ac:dyDescent="0.25">
      <c r="A122" s="22" t="s">
        <v>136</v>
      </c>
      <c r="B122" s="22" t="s">
        <v>137</v>
      </c>
      <c r="C122" s="22" t="s">
        <v>17</v>
      </c>
      <c r="D122" s="28">
        <v>0</v>
      </c>
      <c r="E122" s="23">
        <f t="shared" ref="E122" si="49">D122/7*12</f>
        <v>0</v>
      </c>
      <c r="F122" s="28">
        <f>SUM(G122:R122)</f>
        <v>0</v>
      </c>
      <c r="G122" s="28">
        <v>0</v>
      </c>
      <c r="H122" s="28">
        <v>0</v>
      </c>
      <c r="I122" s="28">
        <v>0</v>
      </c>
      <c r="J122" s="28">
        <v>0</v>
      </c>
      <c r="K122" s="28">
        <v>0</v>
      </c>
      <c r="L122" s="28">
        <v>0</v>
      </c>
      <c r="M122" s="28">
        <v>0</v>
      </c>
      <c r="N122" s="28">
        <v>0</v>
      </c>
      <c r="O122" s="28">
        <v>0</v>
      </c>
      <c r="P122" s="28">
        <v>0</v>
      </c>
      <c r="Q122" s="28">
        <v>0</v>
      </c>
      <c r="R122" s="28">
        <v>0</v>
      </c>
      <c r="S122" s="43"/>
      <c r="T122" s="43"/>
      <c r="U122" s="43"/>
      <c r="V122" s="43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  <c r="AI122" s="25"/>
      <c r="AJ122" s="25"/>
      <c r="AK122" s="25"/>
      <c r="AL122" s="25"/>
      <c r="AM122" s="25"/>
      <c r="AP122" s="25"/>
    </row>
    <row r="123" spans="1:45" s="25" customFormat="1" x14ac:dyDescent="0.2">
      <c r="A123" s="30"/>
      <c r="B123" s="30" t="s">
        <v>138</v>
      </c>
      <c r="C123" s="30" t="s">
        <v>17</v>
      </c>
      <c r="D123" s="56">
        <f>SUM(D121:D122)</f>
        <v>91259.91</v>
      </c>
      <c r="E123" s="56">
        <f>SUM(E121:E122)</f>
        <v>156445.56</v>
      </c>
      <c r="F123" s="56">
        <f>SUM(F121:F122)</f>
        <v>156444</v>
      </c>
      <c r="G123" s="56">
        <f>SUM(G121:G122)</f>
        <v>13037</v>
      </c>
      <c r="H123" s="56">
        <f t="shared" ref="H123:R123" si="50">SUM(H121:H122)</f>
        <v>13037</v>
      </c>
      <c r="I123" s="56">
        <f t="shared" si="50"/>
        <v>13037</v>
      </c>
      <c r="J123" s="56">
        <f t="shared" si="50"/>
        <v>13037</v>
      </c>
      <c r="K123" s="56">
        <f t="shared" si="50"/>
        <v>13037</v>
      </c>
      <c r="L123" s="56">
        <f t="shared" si="50"/>
        <v>13037</v>
      </c>
      <c r="M123" s="56">
        <f t="shared" si="50"/>
        <v>13037</v>
      </c>
      <c r="N123" s="56">
        <f t="shared" si="50"/>
        <v>13037</v>
      </c>
      <c r="O123" s="56">
        <f t="shared" si="50"/>
        <v>13037</v>
      </c>
      <c r="P123" s="56">
        <f t="shared" si="50"/>
        <v>13037</v>
      </c>
      <c r="Q123" s="56">
        <f t="shared" si="50"/>
        <v>13037</v>
      </c>
      <c r="R123" s="56">
        <f t="shared" si="50"/>
        <v>13037</v>
      </c>
      <c r="S123" s="43"/>
      <c r="T123" s="43"/>
      <c r="U123" s="43"/>
      <c r="V123" s="43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6"/>
      <c r="AO123" s="26"/>
      <c r="AP123" s="21"/>
      <c r="AQ123" s="26"/>
      <c r="AR123" s="21"/>
      <c r="AS123" s="21"/>
    </row>
    <row r="124" spans="1:45" s="21" customFormat="1" ht="13.5" thickBot="1" x14ac:dyDescent="0.25">
      <c r="A124" s="53"/>
      <c r="B124" s="53"/>
      <c r="C124" s="53"/>
      <c r="D124" s="37"/>
      <c r="E124" s="71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43"/>
      <c r="T124" s="43"/>
      <c r="U124" s="43"/>
      <c r="V124" s="43"/>
      <c r="W124" s="25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P124" s="26"/>
    </row>
    <row r="125" spans="1:45" s="21" customFormat="1" x14ac:dyDescent="0.2">
      <c r="A125" s="30"/>
      <c r="B125" s="30" t="s">
        <v>139</v>
      </c>
      <c r="C125" s="30" t="s">
        <v>17</v>
      </c>
      <c r="D125" s="31">
        <f>D117-D123</f>
        <v>26912.550000000047</v>
      </c>
      <c r="E125" s="31">
        <f t="shared" ref="E125:R125" si="51">E117-E123</f>
        <v>49478.034285714326</v>
      </c>
      <c r="F125" s="31">
        <f t="shared" si="51"/>
        <v>-43902.791632800014</v>
      </c>
      <c r="G125" s="31">
        <f t="shared" si="51"/>
        <v>7099.547154150001</v>
      </c>
      <c r="H125" s="31">
        <f t="shared" si="51"/>
        <v>-3429.1965958499968</v>
      </c>
      <c r="I125" s="31">
        <f t="shared" si="51"/>
        <v>2893.9284041499977</v>
      </c>
      <c r="J125" s="31">
        <f t="shared" si="51"/>
        <v>-4479.0640958500026</v>
      </c>
      <c r="K125" s="31">
        <f t="shared" si="51"/>
        <v>-70656.269164049998</v>
      </c>
      <c r="L125" s="31">
        <f t="shared" si="51"/>
        <v>1021.0503359500035</v>
      </c>
      <c r="M125" s="31">
        <f t="shared" si="51"/>
        <v>9645.9590859500058</v>
      </c>
      <c r="N125" s="31">
        <f t="shared" si="51"/>
        <v>-1274.8771640500017</v>
      </c>
      <c r="O125" s="31">
        <f t="shared" si="51"/>
        <v>9652.534085949992</v>
      </c>
      <c r="P125" s="31">
        <f t="shared" si="51"/>
        <v>3726.5690859499991</v>
      </c>
      <c r="Q125" s="31">
        <f t="shared" si="51"/>
        <v>9704.8690859500057</v>
      </c>
      <c r="R125" s="31">
        <f t="shared" si="51"/>
        <v>-7807.8418510500051</v>
      </c>
      <c r="S125" s="42"/>
      <c r="T125" s="42"/>
      <c r="U125" s="42"/>
      <c r="V125" s="42"/>
      <c r="X125" s="26"/>
      <c r="Y125" s="26"/>
      <c r="Z125" s="26"/>
      <c r="AA125" s="26"/>
      <c r="AB125" s="26"/>
      <c r="AR125" s="25"/>
      <c r="AS125" s="25"/>
    </row>
    <row r="126" spans="1:45" s="51" customFormat="1" x14ac:dyDescent="0.2">
      <c r="A126" s="32"/>
      <c r="B126" s="32"/>
      <c r="C126" s="32"/>
      <c r="D126" s="33"/>
      <c r="E126" s="2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44"/>
      <c r="T126" s="44"/>
      <c r="U126" s="44"/>
      <c r="V126" s="44"/>
      <c r="W126" s="26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  <c r="AN126" s="21"/>
      <c r="AO126" s="21"/>
      <c r="AP126" s="21"/>
      <c r="AQ126" s="21"/>
      <c r="AR126" s="21"/>
      <c r="AS126" s="21"/>
    </row>
    <row r="127" spans="1:45" s="21" customFormat="1" x14ac:dyDescent="0.2">
      <c r="D127" s="60"/>
      <c r="E127" s="60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42"/>
      <c r="T127" s="42"/>
      <c r="U127" s="42"/>
      <c r="V127" s="42"/>
      <c r="X127" s="51"/>
      <c r="Y127" s="51"/>
      <c r="Z127" s="51"/>
      <c r="AA127" s="51"/>
      <c r="AB127" s="51"/>
    </row>
    <row r="128" spans="1:45" s="21" customFormat="1" x14ac:dyDescent="0.2">
      <c r="D128" s="60"/>
      <c r="E128" s="60"/>
      <c r="F128" s="54"/>
      <c r="G128" s="54"/>
      <c r="H128" s="54"/>
      <c r="I128" s="54"/>
      <c r="J128" s="54"/>
      <c r="K128" s="54"/>
      <c r="L128" s="54"/>
      <c r="M128" s="54"/>
      <c r="N128" s="54"/>
      <c r="O128" s="54"/>
      <c r="P128" s="54"/>
      <c r="Q128" s="54"/>
      <c r="R128" s="54"/>
      <c r="S128" s="55"/>
      <c r="T128" s="55"/>
      <c r="U128" s="55"/>
      <c r="V128" s="55"/>
      <c r="W128" s="51"/>
    </row>
    <row r="129" spans="1:22" s="21" customFormat="1" x14ac:dyDescent="0.2">
      <c r="A129" s="51"/>
      <c r="B129" s="51"/>
      <c r="C129" s="51"/>
      <c r="D129" s="66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42"/>
      <c r="T129" s="42"/>
      <c r="U129" s="42"/>
      <c r="V129" s="42"/>
    </row>
  </sheetData>
  <customSheetViews>
    <customSheetView guid="{3EBD62F1-8F08-4E77-BBC0-FDD26D34F961}" fitToPage="1">
      <pane ySplit="5.2352941176470589" topLeftCell="A64" activePane="bottomLeft"/>
      <selection pane="bottomLeft" activeCell="G73" sqref="G73"/>
      <pageMargins left="0.75" right="0.75" top="1" bottom="1" header="0.5" footer="0.5"/>
      <pageSetup paperSize="5" scale="10" fitToHeight="2" orientation="landscape" horizontalDpi="300" verticalDpi="300" r:id="rId1"/>
      <headerFooter alignWithMargins="0"/>
    </customSheetView>
  </customSheetViews>
  <mergeCells count="16">
    <mergeCell ref="A1:R1"/>
    <mergeCell ref="A2:R2"/>
    <mergeCell ref="A3:R3"/>
    <mergeCell ref="C4:C5"/>
    <mergeCell ref="G4:G5"/>
    <mergeCell ref="H4:H5"/>
    <mergeCell ref="I4:I5"/>
    <mergeCell ref="J4:J5"/>
    <mergeCell ref="K4:K5"/>
    <mergeCell ref="P4:P5"/>
    <mergeCell ref="Q4:Q5"/>
    <mergeCell ref="R4:R5"/>
    <mergeCell ref="L4:L5"/>
    <mergeCell ref="M4:M5"/>
    <mergeCell ref="N4:N5"/>
    <mergeCell ref="O4:O5"/>
  </mergeCells>
  <phoneticPr fontId="7" type="noConversion"/>
  <hyperlinks>
    <hyperlink ref="S32" r:id="rId2" display="7@ $150"/>
  </hyperlinks>
  <pageMargins left="0.75" right="0.75" top="1" bottom="1" header="0.5" footer="0.5"/>
  <pageSetup paperSize="5" scale="10" fitToHeight="2" orientation="landscape" horizontalDpi="300" verticalDpi="300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The Ross Management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JeanetteK</dc:creator>
  <cp:lastModifiedBy>Keith Roberts</cp:lastModifiedBy>
  <cp:lastPrinted>2010-10-22T17:34:23Z</cp:lastPrinted>
  <dcterms:created xsi:type="dcterms:W3CDTF">2009-11-02T21:17:10Z</dcterms:created>
  <dcterms:modified xsi:type="dcterms:W3CDTF">2017-02-03T22:02:26Z</dcterms:modified>
</cp:coreProperties>
</file>